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adasa4.sharepoint.com/sites/SEF/COEE IRT  RTP/RTA/RTA 2026/Pré AP/"/>
    </mc:Choice>
  </mc:AlternateContent>
  <xr:revisionPtr revIDLastSave="0" documentId="8_{D986DF0D-00F1-4F5C-8EA8-02B7A57124E8}" xr6:coauthVersionLast="47" xr6:coauthVersionMax="47" xr10:uidLastSave="{00000000-0000-0000-0000-000000000000}"/>
  <bookViews>
    <workbookView xWindow="28680" yWindow="-120" windowWidth="29040" windowHeight="15720" tabRatio="953" firstSheet="10" activeTab="13" xr2:uid="{00000000-000D-0000-FFFF-FFFF00000000}"/>
  </bookViews>
  <sheets>
    <sheet name="Fórmulas" sheetId="30" r:id="rId1"/>
    <sheet name="Parâmetros" sheetId="32" r:id="rId2"/>
    <sheet name="Índices_2025" sheetId="35" r:id="rId3"/>
    <sheet name="Bônus-Desconto" sheetId="36" r:id="rId4"/>
    <sheet name="Volume_2025" sheetId="4" r:id="rId5"/>
    <sheet name="VPA 2026" sheetId="13" r:id="rId6"/>
    <sheet name="VPB 2026" sheetId="41" r:id="rId7"/>
    <sheet name="CF - 2026" sheetId="39" r:id="rId8"/>
    <sheet name="Outros CF" sheetId="47" r:id="rId9"/>
    <sheet name="Parcela de Incentivo EE 26" sheetId="51" r:id="rId10"/>
    <sheet name="RTA 2026" sheetId="15" r:id="rId11"/>
    <sheet name="Tarifa Social" sheetId="49" r:id="rId12"/>
    <sheet name="Tarifas 2026" sheetId="44" r:id="rId13"/>
    <sheet name="4ª RTP" sheetId="46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_R57_2007">[1]Parâmetros!#REF!</definedName>
    <definedName name="AdicionalIR">#REF!</definedName>
    <definedName name="AlugCentral">'[2]E-AdmSist'!$D$9</definedName>
    <definedName name="AlugCom">'[2]E-AdmSist'!$D$11</definedName>
    <definedName name="AlugETA_ETE">'[2]E-AdmSist'!$D$12</definedName>
    <definedName name="AlugPA">'[2]E-AdmSist'!$D$10</definedName>
    <definedName name="_xlnm.Print_Area" localSheetId="10">'RTA 2026'!$AI$26:$AK$26</definedName>
    <definedName name="_xlnm.Print_Area" localSheetId="12">'Tarifas 2026'!$AC$19:$AE$22</definedName>
    <definedName name="_xlnm.Print_Area">#REF!</definedName>
    <definedName name="AreaEst">'[2]E-AdmSist'!$I$9</definedName>
    <definedName name="AreaLabC">'[2]E-AdmSist'!$D$21</definedName>
    <definedName name="AreaOficC">'[2]E-AdmSist'!$D$22</definedName>
    <definedName name="B">[3]DRE!#REF!</definedName>
    <definedName name="BaseIR">#REF!</definedName>
    <definedName name="Beneficio">'[2]P-Indices'!$D$20</definedName>
    <definedName name="Caixa">#REF!</definedName>
    <definedName name="Capacitação">'[2]P-Indices'!$D$18</definedName>
    <definedName name="CAPM">#REF!</definedName>
    <definedName name="CRA">'[2]C-Teleatendimento'!$D$9</definedName>
    <definedName name="CS_NEG">#REF!</definedName>
    <definedName name="CS_PERC">#REF!</definedName>
    <definedName name="CTIPO">#REF!</definedName>
    <definedName name="CustAnalise">'[2]E-AdmSist'!$D$23</definedName>
    <definedName name="CustElet">'[2]E-AdmSist'!$D$18</definedName>
    <definedName name="CustEst">'[2]E-AdmSist'!$I$10</definedName>
    <definedName name="CustLimp">'[2]E-AdmSist'!$D$19</definedName>
    <definedName name="CustMovel">'[2]E-AdmSist'!$D$15</definedName>
    <definedName name="CustTel">'[2]E-AdmSist'!$D$17</definedName>
    <definedName name="Decimo_Terceiro">'[2]P-Indices'!$D$12</definedName>
    <definedName name="Deposito">'[2]E-AdmSist'!$D$16</definedName>
    <definedName name="dia_TrabMesCom">'[2]P-Indices'!$D$25</definedName>
    <definedName name="dia_TrabSem">'[2]P-Indices'!$D$24</definedName>
    <definedName name="Equipes">'[2]P-Equipes'!$B$11:$AV$105</definedName>
    <definedName name="FC_ElevEsg">'[2]E-Elevatorias'!$M$176</definedName>
    <definedName name="FC_ETE">'[2]E-ETA-ETE'!$J$86</definedName>
    <definedName name="fdgf">'[2]P-Indices'!$D$15</definedName>
    <definedName name="Ferias">'[2]P-Indices'!$D$13</definedName>
    <definedName name="FGTS">'[2]P-Indices'!$D$10</definedName>
    <definedName name="FreqAtCom">'[2]E-Estrutura'!$D$458</definedName>
    <definedName name="G">#REF!</definedName>
    <definedName name="gfhfgh">'[2]E-AdmSist'!$D$44</definedName>
    <definedName name="GR">#REF!</definedName>
    <definedName name="h_ElevEnerg">'[2]E-Elevatorias'!$D$10</definedName>
    <definedName name="h_OpEnerg">'[2]E-ETA-ETE'!$D$34</definedName>
    <definedName name="h_TrabDia">'[2]P-Indices'!$D$22</definedName>
    <definedName name="h_TrabOeM">'[2]P-Indices'!$D$23</definedName>
    <definedName name="h_VecDia">'[2]P-Indices'!$D$28</definedName>
    <definedName name="HoraExtra">'[2]P-Indices'!$D$19</definedName>
    <definedName name="IGPM_1">[2]Controle!$D$13</definedName>
    <definedName name="IGPM_2">[2]Controle!$D$16</definedName>
    <definedName name="Inativos">'[2]E-Economias'!$L$26</definedName>
    <definedName name="inflation">#REF!</definedName>
    <definedName name="Insalub_Max">'[2]P-Indices'!$D$17</definedName>
    <definedName name="Insalub_Med">'[2]P-Indices'!$D$16</definedName>
    <definedName name="Insalub_Min">'[2]P-Indices'!$D$15</definedName>
    <definedName name="INSS">'[2]P-Indices'!$D$9</definedName>
    <definedName name="InsumEscrit">'[2]E-AdmSist'!$D$20</definedName>
    <definedName name="InvHardPC">'[2]E-AdmSist'!$D$44</definedName>
    <definedName name="InvSoftPC">'[2]E-AdmSist'!$D$43</definedName>
    <definedName name="IPCA_1">[2]Controle!$D$12</definedName>
    <definedName name="IPCA_2">[2]Controle!$D$15</definedName>
    <definedName name="ir_perpetuo">#REF!</definedName>
    <definedName name="Lig_Ativ_Esg">'[2]E-Economias'!$J$39</definedName>
    <definedName name="Ligacoes_Tot">'[2]E-Economias'!$J$26</definedName>
    <definedName name="Lucro">#REF!</definedName>
    <definedName name="m2_Acom">'[2]E-AdmSist'!$D$14</definedName>
    <definedName name="m2_Indiv">'[2]E-AdmSist'!$D$13</definedName>
    <definedName name="Maquina">'[2]P-Veiculos'!$C$33:$W$47</definedName>
    <definedName name="MESES_A_PROJETAR">#REF!</definedName>
    <definedName name="MobDCom">'[2]E-AdmSist'!$I$13</definedName>
    <definedName name="MobDEng">'[2]E-AdmSist'!$I$15</definedName>
    <definedName name="MobDGest">'[2]E-AdmSist'!$I$16</definedName>
    <definedName name="MobPres">'[2]E-AdmSist'!$I$12</definedName>
    <definedName name="model">[4]Controle!#REF!</definedName>
    <definedName name="moeda">#REF!</definedName>
    <definedName name="o">'[5]T-Bonds'!$E$6</definedName>
    <definedName name="oi">#REF!</definedName>
    <definedName name="Pensao">'[2]P-Indices'!$D$21</definedName>
    <definedName name="PeriodoTaxa">#REF!</definedName>
    <definedName name="perpetuo">[3]DRE!#REF!</definedName>
    <definedName name="ponderada_abaixo">#REF!</definedName>
    <definedName name="ponderada_acima">#REF!</definedName>
    <definedName name="ponderada_simples">#REF!</definedName>
    <definedName name="PREJFISC_ACUM">#REF!</definedName>
    <definedName name="ProdQuim">'[2]E-ETA-ETE'!$C$9:$D$29</definedName>
    <definedName name="SalarioMinimo">'[2]P-Indices'!$D$11</definedName>
    <definedName name="Salarios">'[2]P-Salarios'!$C$9:$V$60</definedName>
    <definedName name="sem_TrabAno">'[2]P-Indices'!$D$26</definedName>
    <definedName name="sem_TrabVEC">'[2]P-Indices'!$D$27</definedName>
    <definedName name="simple">[4]BETA!#REF!</definedName>
    <definedName name="TarifConsElev">'[2]E-Elevatorias'!$D$9</definedName>
    <definedName name="TarifConsOp">'[2]E-ETA-ETE'!$D$33</definedName>
    <definedName name="TarifDemElev">'[2]E-Elevatorias'!$D$8</definedName>
    <definedName name="TarifDemOp">'[2]E-ETA-ETE'!$D$32</definedName>
    <definedName name="TaxaDesconto">#REF!</definedName>
    <definedName name="_xlnm.Print_Titles">#REF!</definedName>
    <definedName name="TMA">'[2]E-Estrutura'!$D$457</definedName>
    <definedName name="Tx_Desc">[3]DRE!#REF!</definedName>
    <definedName name="Veiculos">'[2]P-Veiculos'!$C$13:$W$27</definedName>
    <definedName name="VidaHard">'[2]E-AdmSist'!$E$34</definedName>
    <definedName name="VidaHardPC">'[2]E-AdmSist'!$E$36</definedName>
    <definedName name="VidaSoft">'[2]E-AdmSist'!$E$33</definedName>
    <definedName name="VidaSoftPC">'[2]E-AdmSist'!$E$35</definedName>
    <definedName name="WACC">[2]Controle!$D$9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7" l="1"/>
  <c r="C31" i="47" s="1"/>
  <c r="C14" i="47"/>
  <c r="D17" i="39"/>
  <c r="D131" i="4" s="1"/>
  <c r="E17" i="39"/>
  <c r="F17" i="39"/>
  <c r="G17" i="39"/>
  <c r="H17" i="39"/>
  <c r="I17" i="39"/>
  <c r="I131" i="4" s="1"/>
  <c r="J17" i="39"/>
  <c r="J131" i="4" s="1"/>
  <c r="K17" i="39"/>
  <c r="K131" i="4" s="1"/>
  <c r="L17" i="39"/>
  <c r="L131" i="4" s="1"/>
  <c r="M17" i="39"/>
  <c r="N17" i="39"/>
  <c r="O17" i="39"/>
  <c r="P17" i="39"/>
  <c r="P131" i="4" s="1"/>
  <c r="M131" i="4"/>
  <c r="N131" i="4"/>
  <c r="O131" i="4"/>
  <c r="E131" i="4"/>
  <c r="F131" i="4"/>
  <c r="G131" i="4"/>
  <c r="H131" i="4"/>
  <c r="P34" i="39"/>
  <c r="G17" i="41"/>
  <c r="K15" i="36" l="1"/>
  <c r="K13" i="36"/>
  <c r="C25" i="47" l="1"/>
  <c r="C11" i="47"/>
  <c r="C18" i="47"/>
  <c r="C20" i="47"/>
  <c r="C26" i="47"/>
  <c r="C30" i="13"/>
  <c r="C34" i="51"/>
  <c r="C32" i="51"/>
  <c r="C30" i="51"/>
  <c r="C28" i="51"/>
  <c r="C23" i="51"/>
  <c r="C25" i="51"/>
  <c r="C26" i="51"/>
  <c r="C21" i="51"/>
  <c r="C15" i="51"/>
  <c r="C19" i="51" s="1"/>
  <c r="C16" i="51"/>
  <c r="C17" i="51"/>
  <c r="E33" i="39"/>
  <c r="D33" i="39" s="1"/>
  <c r="E30" i="49" l="1"/>
  <c r="E32" i="49" s="1"/>
  <c r="E34" i="49" s="1"/>
  <c r="E27" i="49"/>
  <c r="D27" i="49"/>
  <c r="E17" i="49"/>
  <c r="D17" i="49"/>
  <c r="E31" i="49"/>
  <c r="E14" i="39"/>
  <c r="F14" i="39"/>
  <c r="G14" i="39"/>
  <c r="H14" i="39"/>
  <c r="I14" i="39"/>
  <c r="J14" i="39"/>
  <c r="K14" i="39"/>
  <c r="L14" i="39"/>
  <c r="M14" i="39"/>
  <c r="N14" i="39"/>
  <c r="O14" i="39"/>
  <c r="O19" i="39"/>
  <c r="O18" i="39" l="1"/>
  <c r="O21" i="39" l="1"/>
  <c r="O22" i="39"/>
  <c r="O23" i="39" s="1"/>
  <c r="O20" i="39"/>
  <c r="G50" i="35" l="1"/>
  <c r="F50" i="35"/>
  <c r="D130" i="4" l="1"/>
  <c r="D129" i="4"/>
  <c r="D127" i="4"/>
  <c r="D128" i="4"/>
  <c r="O129" i="4"/>
  <c r="O130" i="4"/>
  <c r="P91" i="4"/>
  <c r="O12" i="4" l="1"/>
  <c r="P11" i="4"/>
  <c r="D12" i="4"/>
  <c r="E12" i="4"/>
  <c r="F12" i="4"/>
  <c r="G12" i="4"/>
  <c r="H12" i="4"/>
  <c r="I12" i="4"/>
  <c r="J12" i="4"/>
  <c r="K12" i="4"/>
  <c r="L12" i="4"/>
  <c r="M12" i="4"/>
  <c r="N12" i="4"/>
  <c r="P18" i="4"/>
  <c r="P19" i="4"/>
  <c r="P20" i="4"/>
  <c r="P21" i="4"/>
  <c r="P22" i="4"/>
  <c r="P23" i="4"/>
  <c r="P10" i="4"/>
  <c r="F51" i="36"/>
  <c r="B41" i="36"/>
  <c r="P12" i="4" l="1"/>
  <c r="D14" i="39"/>
  <c r="E30" i="35" l="1"/>
  <c r="E31" i="35" s="1"/>
  <c r="E32" i="35" s="1"/>
  <c r="E33" i="35" s="1"/>
  <c r="E34" i="35" s="1"/>
  <c r="E35" i="35" s="1"/>
  <c r="E36" i="35" s="1"/>
  <c r="E37" i="35" s="1"/>
  <c r="E38" i="35" s="1"/>
  <c r="E39" i="35" s="1"/>
  <c r="E29" i="35"/>
  <c r="E18" i="41"/>
  <c r="B29" i="35" l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F40" i="35"/>
  <c r="G40" i="35" l="1"/>
  <c r="C40" i="35"/>
  <c r="F51" i="35" s="1"/>
  <c r="D40" i="35" l="1"/>
  <c r="G51" i="35" s="1"/>
  <c r="H50" i="35"/>
  <c r="H51" i="35" l="1"/>
  <c r="H52" i="35" s="1"/>
  <c r="E11" i="41" l="1"/>
  <c r="D19" i="39" l="1"/>
  <c r="D18" i="39"/>
  <c r="C24" i="47"/>
  <c r="D22" i="39" l="1"/>
  <c r="D21" i="39"/>
  <c r="P12" i="39" l="1"/>
  <c r="C30" i="47" l="1"/>
  <c r="C29" i="47" s="1"/>
  <c r="C33" i="47" l="1"/>
  <c r="D23" i="15"/>
  <c r="F33" i="39" l="1"/>
  <c r="F34" i="39"/>
  <c r="F35" i="39"/>
  <c r="F36" i="39"/>
  <c r="F37" i="39"/>
  <c r="F38" i="39"/>
  <c r="F39" i="39"/>
  <c r="F40" i="39"/>
  <c r="F41" i="39"/>
  <c r="F42" i="39"/>
  <c r="F43" i="39"/>
  <c r="F44" i="39"/>
  <c r="D21" i="15" l="1"/>
  <c r="D22" i="15" l="1"/>
  <c r="D20" i="15"/>
  <c r="D15" i="41"/>
  <c r="D14" i="41"/>
  <c r="D13" i="41"/>
  <c r="D12" i="41"/>
  <c r="D11" i="41"/>
  <c r="C26" i="41" l="1"/>
  <c r="D24" i="15"/>
  <c r="F11" i="36" l="1"/>
  <c r="O37" i="4" l="1"/>
  <c r="J24" i="4" l="1"/>
  <c r="F53" i="4"/>
  <c r="E53" i="4"/>
  <c r="G53" i="4"/>
  <c r="H53" i="4"/>
  <c r="I53" i="4"/>
  <c r="J53" i="4"/>
  <c r="K53" i="4"/>
  <c r="L53" i="4"/>
  <c r="M53" i="4"/>
  <c r="N53" i="4"/>
  <c r="O53" i="4"/>
  <c r="D53" i="4"/>
  <c r="E90" i="4"/>
  <c r="F90" i="4"/>
  <c r="G90" i="4"/>
  <c r="H90" i="4"/>
  <c r="I90" i="4"/>
  <c r="J90" i="4"/>
  <c r="K90" i="4"/>
  <c r="L90" i="4"/>
  <c r="M90" i="4"/>
  <c r="N90" i="4"/>
  <c r="O90" i="4"/>
  <c r="D90" i="4"/>
  <c r="E96" i="4"/>
  <c r="F96" i="4"/>
  <c r="G96" i="4"/>
  <c r="H96" i="4"/>
  <c r="I96" i="4"/>
  <c r="J96" i="4"/>
  <c r="K96" i="4"/>
  <c r="L96" i="4"/>
  <c r="M96" i="4"/>
  <c r="N96" i="4"/>
  <c r="O96" i="4"/>
  <c r="D96" i="4"/>
  <c r="P90" i="4" l="1"/>
  <c r="F23" i="35"/>
  <c r="F15" i="41" l="1"/>
  <c r="F14" i="41"/>
  <c r="F13" i="41"/>
  <c r="E23" i="35"/>
  <c r="N72" i="4" l="1"/>
  <c r="M84" i="4"/>
  <c r="L72" i="4"/>
  <c r="J84" i="4"/>
  <c r="J78" i="4"/>
  <c r="G72" i="4"/>
  <c r="F65" i="4"/>
  <c r="E78" i="4"/>
  <c r="E65" i="4"/>
  <c r="O65" i="4"/>
  <c r="O72" i="4"/>
  <c r="N78" i="4"/>
  <c r="O84" i="4"/>
  <c r="J72" i="4" l="1"/>
  <c r="E72" i="4"/>
  <c r="E84" i="4"/>
  <c r="F84" i="4"/>
  <c r="I72" i="4"/>
  <c r="I84" i="4"/>
  <c r="K65" i="4"/>
  <c r="M72" i="4"/>
  <c r="N65" i="4"/>
  <c r="N84" i="4"/>
  <c r="O78" i="4"/>
  <c r="O92" i="4" s="1"/>
  <c r="M65" i="4"/>
  <c r="F72" i="4"/>
  <c r="F78" i="4"/>
  <c r="H72" i="4"/>
  <c r="H84" i="4"/>
  <c r="I65" i="4"/>
  <c r="I78" i="4"/>
  <c r="G65" i="4"/>
  <c r="G84" i="4"/>
  <c r="H65" i="4"/>
  <c r="H78" i="4"/>
  <c r="K72" i="4"/>
  <c r="K78" i="4"/>
  <c r="K84" i="4"/>
  <c r="L65" i="4"/>
  <c r="L78" i="4"/>
  <c r="G78" i="4"/>
  <c r="J65" i="4"/>
  <c r="M78" i="4"/>
  <c r="L84" i="4"/>
  <c r="O31" i="4"/>
  <c r="M37" i="4"/>
  <c r="L43" i="4"/>
  <c r="K49" i="4"/>
  <c r="I24" i="4"/>
  <c r="H43" i="4"/>
  <c r="G49" i="4"/>
  <c r="G31" i="4"/>
  <c r="E49" i="4"/>
  <c r="M31" i="4"/>
  <c r="N92" i="4" l="1"/>
  <c r="L92" i="4"/>
  <c r="M92" i="4"/>
  <c r="K92" i="4"/>
  <c r="J92" i="4"/>
  <c r="I92" i="4"/>
  <c r="H92" i="4"/>
  <c r="G92" i="4"/>
  <c r="F92" i="4"/>
  <c r="E92" i="4"/>
  <c r="H31" i="4"/>
  <c r="H49" i="4"/>
  <c r="G24" i="4"/>
  <c r="L31" i="4"/>
  <c r="M24" i="4"/>
  <c r="N37" i="4"/>
  <c r="E31" i="4"/>
  <c r="F31" i="4"/>
  <c r="F49" i="4"/>
  <c r="G37" i="4"/>
  <c r="H24" i="4"/>
  <c r="H37" i="4"/>
  <c r="J31" i="4"/>
  <c r="L24" i="4"/>
  <c r="L37" i="4"/>
  <c r="L49" i="4"/>
  <c r="M43" i="4"/>
  <c r="N43" i="4"/>
  <c r="E37" i="4"/>
  <c r="I37" i="4"/>
  <c r="I43" i="4"/>
  <c r="J37" i="4"/>
  <c r="K31" i="4"/>
  <c r="O49" i="4"/>
  <c r="F24" i="4"/>
  <c r="F37" i="4"/>
  <c r="F43" i="4"/>
  <c r="J43" i="4"/>
  <c r="N24" i="4"/>
  <c r="N31" i="4"/>
  <c r="N49" i="4"/>
  <c r="E24" i="4"/>
  <c r="E43" i="4"/>
  <c r="G43" i="4"/>
  <c r="I31" i="4"/>
  <c r="I49" i="4"/>
  <c r="J49" i="4"/>
  <c r="K24" i="4"/>
  <c r="K37" i="4"/>
  <c r="K43" i="4"/>
  <c r="M49" i="4"/>
  <c r="O24" i="4"/>
  <c r="O43" i="4"/>
  <c r="F17" i="36"/>
  <c r="E54" i="4" l="1"/>
  <c r="F50" i="4"/>
  <c r="F54" i="4"/>
  <c r="M50" i="4"/>
  <c r="N50" i="4"/>
  <c r="I50" i="4"/>
  <c r="O50" i="4"/>
  <c r="K50" i="4"/>
  <c r="L50" i="4"/>
  <c r="H50" i="4"/>
  <c r="G50" i="4"/>
  <c r="J50" i="4"/>
  <c r="E50" i="4"/>
  <c r="D16" i="41" l="1"/>
  <c r="E15" i="41" l="1"/>
  <c r="G15" i="41" l="1"/>
  <c r="P85" i="4" l="1"/>
  <c r="P89" i="4"/>
  <c r="P86" i="4"/>
  <c r="P75" i="4"/>
  <c r="P76" i="4"/>
  <c r="P77" i="4"/>
  <c r="P67" i="4"/>
  <c r="P68" i="4"/>
  <c r="P70" i="4"/>
  <c r="P66" i="4"/>
  <c r="P73" i="4" l="1"/>
  <c r="P83" i="4"/>
  <c r="P69" i="4"/>
  <c r="P71" i="4"/>
  <c r="P82" i="4"/>
  <c r="P74" i="4"/>
  <c r="P88" i="4"/>
  <c r="P79" i="4"/>
  <c r="P80" i="4"/>
  <c r="P87" i="4"/>
  <c r="P81" i="4"/>
  <c r="P52" i="4"/>
  <c r="P51" i="4"/>
  <c r="D49" i="4"/>
  <c r="F41" i="36" l="1"/>
  <c r="F42" i="36"/>
  <c r="F43" i="36"/>
  <c r="F44" i="36"/>
  <c r="F45" i="36"/>
  <c r="F46" i="36"/>
  <c r="F47" i="36"/>
  <c r="F48" i="36"/>
  <c r="F49" i="36"/>
  <c r="F50" i="36"/>
  <c r="F52" i="36"/>
  <c r="F12" i="41" l="1"/>
  <c r="G12" i="41" s="1"/>
  <c r="P48" i="4"/>
  <c r="E19" i="39" l="1"/>
  <c r="F19" i="39"/>
  <c r="G19" i="39"/>
  <c r="H19" i="39"/>
  <c r="I19" i="39"/>
  <c r="J19" i="39"/>
  <c r="K19" i="39"/>
  <c r="L19" i="39"/>
  <c r="M19" i="39"/>
  <c r="N19" i="39"/>
  <c r="C19" i="13"/>
  <c r="C18" i="13"/>
  <c r="D124" i="4"/>
  <c r="E124" i="4"/>
  <c r="F124" i="4"/>
  <c r="G124" i="4"/>
  <c r="H124" i="4"/>
  <c r="I124" i="4"/>
  <c r="J124" i="4"/>
  <c r="K124" i="4"/>
  <c r="L124" i="4"/>
  <c r="M124" i="4"/>
  <c r="N124" i="4"/>
  <c r="O124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E127" i="4"/>
  <c r="F127" i="4"/>
  <c r="G127" i="4"/>
  <c r="H127" i="4"/>
  <c r="I127" i="4"/>
  <c r="J127" i="4"/>
  <c r="K127" i="4"/>
  <c r="L127" i="4"/>
  <c r="M127" i="4"/>
  <c r="N127" i="4"/>
  <c r="O127" i="4"/>
  <c r="E123" i="4"/>
  <c r="F123" i="4"/>
  <c r="G123" i="4"/>
  <c r="H123" i="4"/>
  <c r="I123" i="4"/>
  <c r="J123" i="4"/>
  <c r="K123" i="4"/>
  <c r="L123" i="4"/>
  <c r="M123" i="4"/>
  <c r="N123" i="4"/>
  <c r="O123" i="4"/>
  <c r="D123" i="4"/>
  <c r="O121" i="4"/>
  <c r="N121" i="4"/>
  <c r="M121" i="4"/>
  <c r="O120" i="4"/>
  <c r="N120" i="4"/>
  <c r="M120" i="4"/>
  <c r="O119" i="4"/>
  <c r="N119" i="4"/>
  <c r="M119" i="4"/>
  <c r="O118" i="4"/>
  <c r="N118" i="4"/>
  <c r="M118" i="4"/>
  <c r="N117" i="4"/>
  <c r="O117" i="4"/>
  <c r="D118" i="4"/>
  <c r="E118" i="4"/>
  <c r="F118" i="4"/>
  <c r="G118" i="4"/>
  <c r="H118" i="4"/>
  <c r="I118" i="4"/>
  <c r="J118" i="4"/>
  <c r="K118" i="4"/>
  <c r="L118" i="4"/>
  <c r="D119" i="4"/>
  <c r="E119" i="4"/>
  <c r="F119" i="4"/>
  <c r="G119" i="4"/>
  <c r="H119" i="4"/>
  <c r="I119" i="4"/>
  <c r="J119" i="4"/>
  <c r="K119" i="4"/>
  <c r="L119" i="4"/>
  <c r="D120" i="4"/>
  <c r="E120" i="4"/>
  <c r="F120" i="4"/>
  <c r="G120" i="4"/>
  <c r="H120" i="4"/>
  <c r="I120" i="4"/>
  <c r="J120" i="4"/>
  <c r="K120" i="4"/>
  <c r="L120" i="4"/>
  <c r="D121" i="4"/>
  <c r="E121" i="4"/>
  <c r="F121" i="4"/>
  <c r="G121" i="4"/>
  <c r="H121" i="4"/>
  <c r="I121" i="4"/>
  <c r="J121" i="4"/>
  <c r="K121" i="4"/>
  <c r="L121" i="4"/>
  <c r="D117" i="4"/>
  <c r="D111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E111" i="4"/>
  <c r="F111" i="4"/>
  <c r="G111" i="4"/>
  <c r="H111" i="4"/>
  <c r="I111" i="4"/>
  <c r="J111" i="4"/>
  <c r="K111" i="4"/>
  <c r="L111" i="4"/>
  <c r="M111" i="4"/>
  <c r="N111" i="4"/>
  <c r="O111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E104" i="4"/>
  <c r="F104" i="4"/>
  <c r="G104" i="4"/>
  <c r="H104" i="4"/>
  <c r="I104" i="4"/>
  <c r="J104" i="4"/>
  <c r="K104" i="4"/>
  <c r="L104" i="4"/>
  <c r="M104" i="4"/>
  <c r="N104" i="4"/>
  <c r="O104" i="4"/>
  <c r="D104" i="4"/>
  <c r="E98" i="4"/>
  <c r="F98" i="4"/>
  <c r="G98" i="4"/>
  <c r="H98" i="4"/>
  <c r="I98" i="4"/>
  <c r="J98" i="4"/>
  <c r="K98" i="4"/>
  <c r="L98" i="4"/>
  <c r="M98" i="4"/>
  <c r="N98" i="4"/>
  <c r="O98" i="4"/>
  <c r="E99" i="4"/>
  <c r="F99" i="4"/>
  <c r="G99" i="4"/>
  <c r="H99" i="4"/>
  <c r="I99" i="4"/>
  <c r="J99" i="4"/>
  <c r="K99" i="4"/>
  <c r="L99" i="4"/>
  <c r="M99" i="4"/>
  <c r="N99" i="4"/>
  <c r="O99" i="4"/>
  <c r="E100" i="4"/>
  <c r="F100" i="4"/>
  <c r="G100" i="4"/>
  <c r="H100" i="4"/>
  <c r="I100" i="4"/>
  <c r="J100" i="4"/>
  <c r="K100" i="4"/>
  <c r="L100" i="4"/>
  <c r="M100" i="4"/>
  <c r="N100" i="4"/>
  <c r="O100" i="4"/>
  <c r="E101" i="4"/>
  <c r="F101" i="4"/>
  <c r="G101" i="4"/>
  <c r="H101" i="4"/>
  <c r="I101" i="4"/>
  <c r="J101" i="4"/>
  <c r="K101" i="4"/>
  <c r="L101" i="4"/>
  <c r="M101" i="4"/>
  <c r="N101" i="4"/>
  <c r="O101" i="4"/>
  <c r="E102" i="4"/>
  <c r="F102" i="4"/>
  <c r="G102" i="4"/>
  <c r="H102" i="4"/>
  <c r="I102" i="4"/>
  <c r="J102" i="4"/>
  <c r="K102" i="4"/>
  <c r="L102" i="4"/>
  <c r="M102" i="4"/>
  <c r="N102" i="4"/>
  <c r="O102" i="4"/>
  <c r="N97" i="4"/>
  <c r="E97" i="4"/>
  <c r="F97" i="4"/>
  <c r="G97" i="4"/>
  <c r="H97" i="4"/>
  <c r="I97" i="4"/>
  <c r="J97" i="4"/>
  <c r="K97" i="4"/>
  <c r="L97" i="4"/>
  <c r="M97" i="4"/>
  <c r="O97" i="4"/>
  <c r="D98" i="4"/>
  <c r="D99" i="4"/>
  <c r="D100" i="4"/>
  <c r="D101" i="4"/>
  <c r="D102" i="4"/>
  <c r="D97" i="4"/>
  <c r="P47" i="4"/>
  <c r="P46" i="4"/>
  <c r="P45" i="4"/>
  <c r="P44" i="4"/>
  <c r="P39" i="4"/>
  <c r="P40" i="4"/>
  <c r="P41" i="4"/>
  <c r="P42" i="4"/>
  <c r="P38" i="4"/>
  <c r="P32" i="4"/>
  <c r="P33" i="4"/>
  <c r="P34" i="4"/>
  <c r="P35" i="4"/>
  <c r="P36" i="4"/>
  <c r="P30" i="4"/>
  <c r="D43" i="4"/>
  <c r="P26" i="4"/>
  <c r="P27" i="4"/>
  <c r="P28" i="4"/>
  <c r="P29" i="4"/>
  <c r="P25" i="4"/>
  <c r="D24" i="4"/>
  <c r="P11" i="39" l="1"/>
  <c r="O128" i="4"/>
  <c r="M54" i="4"/>
  <c r="O54" i="4"/>
  <c r="N54" i="4"/>
  <c r="N128" i="4"/>
  <c r="O103" i="4"/>
  <c r="M128" i="4"/>
  <c r="P43" i="4"/>
  <c r="C20" i="13"/>
  <c r="N116" i="4"/>
  <c r="P13" i="39"/>
  <c r="O122" i="4"/>
  <c r="N103" i="4"/>
  <c r="N122" i="4"/>
  <c r="O116" i="4"/>
  <c r="M103" i="4"/>
  <c r="P24" i="4"/>
  <c r="O110" i="4"/>
  <c r="N110" i="4"/>
  <c r="N130" i="4" l="1"/>
  <c r="E43" i="39" s="1"/>
  <c r="D43" i="39" s="1"/>
  <c r="N129" i="4"/>
  <c r="P14" i="39"/>
  <c r="N18" i="39"/>
  <c r="N21" i="39" s="1"/>
  <c r="N20" i="39" l="1"/>
  <c r="E44" i="39"/>
  <c r="D44" i="39" s="1"/>
  <c r="N22" i="39"/>
  <c r="N23" i="39" l="1"/>
  <c r="C43" i="39" s="1"/>
  <c r="C44" i="39"/>
  <c r="F11" i="41" l="1"/>
  <c r="G11" i="41" s="1"/>
  <c r="G13" i="41" l="1"/>
  <c r="G14" i="41"/>
  <c r="E12" i="41"/>
  <c r="E13" i="41"/>
  <c r="E14" i="41"/>
  <c r="C21" i="41" l="1"/>
  <c r="C23" i="41" s="1"/>
  <c r="C27" i="41" s="1"/>
  <c r="G16" i="41"/>
  <c r="E16" i="41"/>
  <c r="C10" i="39" l="1"/>
  <c r="F67" i="36" l="1"/>
  <c r="F66" i="36"/>
  <c r="F65" i="36"/>
  <c r="F64" i="36"/>
  <c r="F63" i="36"/>
  <c r="F62" i="36"/>
  <c r="F61" i="36"/>
  <c r="F60" i="36"/>
  <c r="F59" i="36"/>
  <c r="F58" i="36"/>
  <c r="F57" i="36"/>
  <c r="F56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D41" i="36"/>
  <c r="D56" i="36" s="1"/>
  <c r="B56" i="36"/>
  <c r="F22" i="36"/>
  <c r="F21" i="36"/>
  <c r="F20" i="36"/>
  <c r="F19" i="36"/>
  <c r="F18" i="36"/>
  <c r="F16" i="36"/>
  <c r="F15" i="36"/>
  <c r="F14" i="36"/>
  <c r="F13" i="36"/>
  <c r="F12" i="36"/>
  <c r="D52" i="36"/>
  <c r="D67" i="36" s="1"/>
  <c r="B52" i="36"/>
  <c r="B67" i="36" s="1"/>
  <c r="K11" i="36" l="1"/>
  <c r="M11" i="36"/>
  <c r="M13" i="36" s="1"/>
  <c r="L11" i="36"/>
  <c r="L13" i="36" s="1"/>
  <c r="N11" i="36"/>
  <c r="N13" i="36" s="1"/>
  <c r="B43" i="36"/>
  <c r="B58" i="36" s="1"/>
  <c r="B44" i="36"/>
  <c r="B59" i="36" s="1"/>
  <c r="B48" i="36"/>
  <c r="B63" i="36" s="1"/>
  <c r="B47" i="36"/>
  <c r="B62" i="36" s="1"/>
  <c r="B45" i="36"/>
  <c r="B60" i="36" s="1"/>
  <c r="B49" i="36"/>
  <c r="B64" i="36" s="1"/>
  <c r="D46" i="36"/>
  <c r="D61" i="36" s="1"/>
  <c r="D44" i="36"/>
  <c r="D59" i="36" s="1"/>
  <c r="B42" i="36"/>
  <c r="B57" i="36" s="1"/>
  <c r="D47" i="36"/>
  <c r="D62" i="36" s="1"/>
  <c r="B50" i="36"/>
  <c r="B65" i="36" s="1"/>
  <c r="D42" i="36"/>
  <c r="D57" i="36" s="1"/>
  <c r="D50" i="36"/>
  <c r="D65" i="36" s="1"/>
  <c r="D45" i="36"/>
  <c r="D60" i="36" s="1"/>
  <c r="D48" i="36"/>
  <c r="D63" i="36" s="1"/>
  <c r="B51" i="36"/>
  <c r="B66" i="36" s="1"/>
  <c r="D43" i="36"/>
  <c r="D58" i="36" s="1"/>
  <c r="B46" i="36"/>
  <c r="B61" i="36" s="1"/>
  <c r="D51" i="36"/>
  <c r="D66" i="36" s="1"/>
  <c r="D49" i="36"/>
  <c r="D64" i="36" s="1"/>
  <c r="B11" i="35" l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D84" i="4" l="1"/>
  <c r="D78" i="4"/>
  <c r="D72" i="4"/>
  <c r="D65" i="4"/>
  <c r="D92" i="4" s="1"/>
  <c r="P92" i="4" s="1"/>
  <c r="M117" i="4"/>
  <c r="L117" i="4"/>
  <c r="K117" i="4"/>
  <c r="J117" i="4"/>
  <c r="J122" i="4" s="1"/>
  <c r="I117" i="4"/>
  <c r="H117" i="4"/>
  <c r="G117" i="4"/>
  <c r="F117" i="4"/>
  <c r="E117" i="4"/>
  <c r="P64" i="4"/>
  <c r="P63" i="4"/>
  <c r="P62" i="4"/>
  <c r="P60" i="4"/>
  <c r="P59" i="4"/>
  <c r="O58" i="4"/>
  <c r="N58" i="4"/>
  <c r="M58" i="4"/>
  <c r="L58" i="4"/>
  <c r="K58" i="4"/>
  <c r="J58" i="4"/>
  <c r="I58" i="4"/>
  <c r="H58" i="4"/>
  <c r="G58" i="4"/>
  <c r="F58" i="4"/>
  <c r="E58" i="4"/>
  <c r="D58" i="4"/>
  <c r="J54" i="4"/>
  <c r="D37" i="4"/>
  <c r="P37" i="4" s="1"/>
  <c r="D31" i="4"/>
  <c r="D54" i="4" s="1"/>
  <c r="G54" i="4" l="1"/>
  <c r="K54" i="4"/>
  <c r="L54" i="4"/>
  <c r="I54" i="4"/>
  <c r="H54" i="4"/>
  <c r="P78" i="4"/>
  <c r="P49" i="4"/>
  <c r="P72" i="4"/>
  <c r="P84" i="4"/>
  <c r="P65" i="4"/>
  <c r="P61" i="4"/>
  <c r="P53" i="4"/>
  <c r="P31" i="4"/>
  <c r="M116" i="4"/>
  <c r="E110" i="4"/>
  <c r="L103" i="4"/>
  <c r="K116" i="4"/>
  <c r="J103" i="4"/>
  <c r="F103" i="4"/>
  <c r="F128" i="4"/>
  <c r="P105" i="4"/>
  <c r="I122" i="4"/>
  <c r="G128" i="4"/>
  <c r="E103" i="4"/>
  <c r="J110" i="4"/>
  <c r="F116" i="4"/>
  <c r="K122" i="4"/>
  <c r="D122" i="4"/>
  <c r="P115" i="4"/>
  <c r="E122" i="4"/>
  <c r="M122" i="4"/>
  <c r="I103" i="4"/>
  <c r="J116" i="4"/>
  <c r="P101" i="4"/>
  <c r="H103" i="4"/>
  <c r="P107" i="4"/>
  <c r="P113" i="4"/>
  <c r="I116" i="4"/>
  <c r="E116" i="4"/>
  <c r="P127" i="4"/>
  <c r="P104" i="4"/>
  <c r="H110" i="4"/>
  <c r="K110" i="4"/>
  <c r="P111" i="4"/>
  <c r="H116" i="4"/>
  <c r="P114" i="4"/>
  <c r="G116" i="4"/>
  <c r="I128" i="4"/>
  <c r="J128" i="4"/>
  <c r="P109" i="4"/>
  <c r="K103" i="4"/>
  <c r="F122" i="4"/>
  <c r="P102" i="4"/>
  <c r="P100" i="4"/>
  <c r="P98" i="4"/>
  <c r="P108" i="4"/>
  <c r="G122" i="4"/>
  <c r="K128" i="4"/>
  <c r="H122" i="4"/>
  <c r="L122" i="4"/>
  <c r="L128" i="4"/>
  <c r="H128" i="4"/>
  <c r="P97" i="4"/>
  <c r="G110" i="4"/>
  <c r="P106" i="4" s="1"/>
  <c r="L116" i="4"/>
  <c r="P112" i="4" s="1"/>
  <c r="E128" i="4"/>
  <c r="P124" i="4" s="1"/>
  <c r="G103" i="4"/>
  <c r="D110" i="4"/>
  <c r="L110" i="4"/>
  <c r="D116" i="4"/>
  <c r="P123" i="4"/>
  <c r="I110" i="4"/>
  <c r="P117" i="4"/>
  <c r="P119" i="4"/>
  <c r="P121" i="4"/>
  <c r="D103" i="4"/>
  <c r="P118" i="4"/>
  <c r="P120" i="4"/>
  <c r="M110" i="4"/>
  <c r="F110" i="4"/>
  <c r="D50" i="4"/>
  <c r="I18" i="39" l="1"/>
  <c r="I21" i="39" s="1"/>
  <c r="H18" i="39"/>
  <c r="H21" i="39" s="1"/>
  <c r="J18" i="39"/>
  <c r="J21" i="39" s="1"/>
  <c r="K18" i="39"/>
  <c r="K21" i="39" s="1"/>
  <c r="G18" i="39"/>
  <c r="G21" i="39" s="1"/>
  <c r="C12" i="13"/>
  <c r="E18" i="39"/>
  <c r="E21" i="39" s="1"/>
  <c r="M129" i="4"/>
  <c r="P50" i="4"/>
  <c r="L18" i="39"/>
  <c r="L21" i="39" s="1"/>
  <c r="F18" i="39"/>
  <c r="F21" i="39" s="1"/>
  <c r="M130" i="4"/>
  <c r="P54" i="4"/>
  <c r="K129" i="4"/>
  <c r="G129" i="4"/>
  <c r="I129" i="4"/>
  <c r="L129" i="4"/>
  <c r="P99" i="4"/>
  <c r="J129" i="4"/>
  <c r="E130" i="4"/>
  <c r="G130" i="4"/>
  <c r="J130" i="4"/>
  <c r="E129" i="4"/>
  <c r="P122" i="4"/>
  <c r="P116" i="4"/>
  <c r="K130" i="4"/>
  <c r="L130" i="4"/>
  <c r="H129" i="4"/>
  <c r="H130" i="4"/>
  <c r="F129" i="4"/>
  <c r="P103" i="4"/>
  <c r="P110" i="4"/>
  <c r="F130" i="4"/>
  <c r="I130" i="4"/>
  <c r="P130" i="4" l="1"/>
  <c r="H20" i="39"/>
  <c r="E38" i="39"/>
  <c r="D38" i="39" s="1"/>
  <c r="E35" i="39"/>
  <c r="D35" i="39" s="1"/>
  <c r="E37" i="39"/>
  <c r="D37" i="39" s="1"/>
  <c r="E41" i="39"/>
  <c r="D41" i="39" s="1"/>
  <c r="E40" i="39"/>
  <c r="D40" i="39" s="1"/>
  <c r="E39" i="39"/>
  <c r="D39" i="39" s="1"/>
  <c r="E36" i="39"/>
  <c r="D36" i="39" s="1"/>
  <c r="E42" i="39"/>
  <c r="D42" i="39" s="1"/>
  <c r="F22" i="39"/>
  <c r="L22" i="39"/>
  <c r="G22" i="39"/>
  <c r="K22" i="39"/>
  <c r="K23" i="39" s="1"/>
  <c r="C40" i="39" s="1"/>
  <c r="J22" i="39"/>
  <c r="H22" i="39"/>
  <c r="H23" i="39" s="1"/>
  <c r="C37" i="39" s="1"/>
  <c r="I22" i="39"/>
  <c r="P15" i="39"/>
  <c r="J20" i="39"/>
  <c r="K20" i="39"/>
  <c r="E20" i="39"/>
  <c r="P19" i="39" s="1"/>
  <c r="E22" i="39"/>
  <c r="G20" i="39"/>
  <c r="P16" i="39"/>
  <c r="L20" i="39"/>
  <c r="C13" i="13"/>
  <c r="F15" i="15" s="1"/>
  <c r="F12" i="15" s="1"/>
  <c r="F20" i="39"/>
  <c r="M18" i="39"/>
  <c r="I20" i="39"/>
  <c r="E34" i="39"/>
  <c r="D34" i="39" s="1"/>
  <c r="P129" i="4"/>
  <c r="P125" i="4"/>
  <c r="P126" i="4"/>
  <c r="C11" i="13"/>
  <c r="P128" i="4"/>
  <c r="M22" i="39" l="1"/>
  <c r="M21" i="39"/>
  <c r="P21" i="39"/>
  <c r="D34" i="13"/>
  <c r="E22" i="15"/>
  <c r="I23" i="39"/>
  <c r="C38" i="39" s="1"/>
  <c r="F23" i="39"/>
  <c r="C35" i="39" s="1"/>
  <c r="E23" i="39"/>
  <c r="C34" i="39" s="1"/>
  <c r="C14" i="13"/>
  <c r="L23" i="39"/>
  <c r="C41" i="39" s="1"/>
  <c r="E45" i="39"/>
  <c r="J23" i="39"/>
  <c r="C39" i="39" s="1"/>
  <c r="G23" i="39"/>
  <c r="C36" i="39" s="1"/>
  <c r="P22" i="39"/>
  <c r="L21" i="36"/>
  <c r="P18" i="39"/>
  <c r="M20" i="39"/>
  <c r="P23" i="39" l="1"/>
  <c r="D14" i="47"/>
  <c r="D31" i="47"/>
  <c r="D29" i="47"/>
  <c r="D26" i="47"/>
  <c r="D24" i="47"/>
  <c r="D20" i="47"/>
  <c r="D18" i="47"/>
  <c r="D11" i="47"/>
  <c r="D33" i="47"/>
  <c r="C15" i="13"/>
  <c r="M23" i="39"/>
  <c r="C42" i="39" l="1"/>
  <c r="C25" i="13"/>
  <c r="D20" i="39" l="1"/>
  <c r="P20" i="39" s="1"/>
  <c r="C21" i="13" s="1"/>
  <c r="D23" i="39" l="1"/>
  <c r="C33" i="39" s="1"/>
  <c r="G33" i="39" s="1"/>
  <c r="C22" i="13"/>
  <c r="C45" i="39" l="1"/>
  <c r="C26" i="13"/>
  <c r="C31" i="13" l="1"/>
  <c r="D33" i="13" s="1"/>
  <c r="G37" i="39"/>
  <c r="G41" i="39"/>
  <c r="G35" i="39"/>
  <c r="G43" i="39"/>
  <c r="G36" i="39"/>
  <c r="G40" i="39"/>
  <c r="G44" i="39"/>
  <c r="G38" i="39"/>
  <c r="G42" i="39"/>
  <c r="G39" i="39"/>
  <c r="D35" i="13" l="1"/>
  <c r="F10" i="15"/>
  <c r="E20" i="15" s="1"/>
  <c r="G34" i="39"/>
  <c r="D45" i="39"/>
  <c r="M15" i="36"/>
  <c r="N15" i="36"/>
  <c r="L15" i="36"/>
  <c r="K16" i="36" l="1"/>
  <c r="F11" i="15"/>
  <c r="E21" i="15" s="1"/>
  <c r="L20" i="36"/>
  <c r="L22" i="36" s="1"/>
  <c r="G45" i="39"/>
  <c r="P33" i="39" s="1"/>
  <c r="P35" i="39" l="1"/>
  <c r="F13" i="15" l="1"/>
  <c r="G34" i="46"/>
  <c r="E23" i="15" l="1"/>
  <c r="E24" i="15" s="1"/>
  <c r="F14" i="15"/>
  <c r="D25" i="15" l="1"/>
  <c r="E37" i="44" s="1"/>
  <c r="J13" i="44" l="1"/>
  <c r="K16" i="44"/>
  <c r="K14" i="44"/>
  <c r="K13" i="44"/>
  <c r="K17" i="44"/>
  <c r="K15" i="44"/>
  <c r="K32" i="44"/>
  <c r="K33" i="44"/>
  <c r="K25" i="44"/>
  <c r="K21" i="44"/>
  <c r="K23" i="44"/>
  <c r="K34" i="44"/>
  <c r="K22" i="44"/>
  <c r="J30" i="44"/>
  <c r="K19" i="44"/>
  <c r="K24" i="44"/>
  <c r="K20" i="44"/>
  <c r="J19" i="44"/>
  <c r="K30" i="44"/>
  <c r="K31" i="44"/>
  <c r="J25" i="44"/>
  <c r="K27" i="44"/>
  <c r="K18" i="44"/>
  <c r="K29" i="44"/>
  <c r="K26" i="44"/>
  <c r="K28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PORTAL</author>
  </authors>
  <commentList>
    <comment ref="B14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 xml:space="preserve">Bes é igual ao benefício econômico de saneamento, calculado com base no volume faturado de água e esgotos e na tarifa média praticada, levando-se em conta os dados de cada mês;
Vf é igual ao somatório dos volumes faturados de água e de esgotos, expressos em metros cúbicos; e,
Tm é a tarifa média, expressa em reais, obtida pela divisão da Receita Operacional Direta – ROD, que é a receita obtida com o faturamento mensal de água e esgoto, pelo volume total de água e esgoto faturado no mesmo mês.
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21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 xml:space="preserve">Beu(a) é o benefício econômico de uso auferido pelos prestadores de serviços públicos, calculado pela multiplicação do somatório dos volumes produzidos de água e de coleta de esgoto sanitário, pela tarifa média praticada, levando-se em consideração os dados de cada mês;
Vp é igual ao somatório dos volumes produzidos de água e de coleta de esgotos sanitários, expressos em metros cúbicos; e
Tm é a tarifa média, expressa em reais, obtida na forma prevista no art. 2º, § 2º, desta Lei Complementar.
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<sst xmlns="http://schemas.openxmlformats.org/spreadsheetml/2006/main" count="592" uniqueCount="349">
  <si>
    <t>Parâmetros</t>
  </si>
  <si>
    <t>Data</t>
  </si>
  <si>
    <t>Data do Reajuste</t>
    <phoneticPr fontId="0" type="noConversion"/>
  </si>
  <si>
    <t>01/06/2026</t>
  </si>
  <si>
    <t>Vigência das Tarifas pós RTA-2026</t>
  </si>
  <si>
    <t>01/06/2026 a 31/05/2027</t>
  </si>
  <si>
    <t xml:space="preserve">DRA: Data  de Referência Anterior </t>
    <phoneticPr fontId="0" type="noConversion"/>
  </si>
  <si>
    <t>01/06/2025</t>
  </si>
  <si>
    <t xml:space="preserve">DRP: Data de Reajuste em Processamento </t>
    <phoneticPr fontId="0" type="noConversion"/>
  </si>
  <si>
    <t>Período de Referência (parcela A + parcela B): 12 meses</t>
  </si>
  <si>
    <t>jan/2025 a dez/2025</t>
  </si>
  <si>
    <t>Mercado de Referência (parcela A + parcela B): Volume de Água e de Esgoto</t>
  </si>
  <si>
    <t>Período de Referência (Bônus-Desconto): 12 meses</t>
  </si>
  <si>
    <t>jan/2024 a dez/2024</t>
  </si>
  <si>
    <t>Período de Apuração (Bônus-Desconto): 12 meses</t>
  </si>
  <si>
    <t>Índices</t>
  </si>
  <si>
    <t>Meses</t>
    <phoneticPr fontId="0" type="noConversion"/>
  </si>
  <si>
    <t>INPC</t>
    <phoneticPr fontId="0" type="noConversion"/>
  </si>
  <si>
    <t>IPCA</t>
  </si>
  <si>
    <t>Índice Acumulado (%)</t>
  </si>
  <si>
    <t>Fonte: www.ipeadata.gov.br</t>
  </si>
  <si>
    <r>
      <t xml:space="preserve">Dados de Energia Elétrica 2024 e 2025 </t>
    </r>
    <r>
      <rPr>
        <b/>
        <vertAlign val="superscript"/>
        <sz val="11"/>
        <color theme="0"/>
        <rFont val="Calibri"/>
        <family val="2"/>
        <scheme val="minor"/>
      </rPr>
      <t>3</t>
    </r>
  </si>
  <si>
    <r>
      <t>Custo de Energia</t>
    </r>
    <r>
      <rPr>
        <vertAlign val="superscript"/>
        <sz val="11"/>
        <color theme="0"/>
        <rFont val="Calibri"/>
        <family val="2"/>
        <scheme val="minor"/>
      </rPr>
      <t xml:space="preserve"> 1</t>
    </r>
    <r>
      <rPr>
        <sz val="11"/>
        <color theme="0"/>
        <rFont val="Calibri"/>
        <family val="2"/>
        <scheme val="minor"/>
      </rPr>
      <t xml:space="preserve"> (R$)</t>
    </r>
  </si>
  <si>
    <r>
      <t xml:space="preserve">Consumo </t>
    </r>
    <r>
      <rPr>
        <vertAlign val="super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(KWh)</t>
    </r>
  </si>
  <si>
    <t>Meses</t>
  </si>
  <si>
    <r>
      <t xml:space="preserve">Custo de Energia </t>
    </r>
    <r>
      <rPr>
        <vertAlign val="superscript"/>
        <sz val="11"/>
        <color theme="0"/>
        <rFont val="Calibri"/>
        <family val="2"/>
        <scheme val="minor"/>
      </rPr>
      <t>1,4</t>
    </r>
    <r>
      <rPr>
        <sz val="11"/>
        <color theme="0"/>
        <rFont val="Calibri"/>
        <family val="2"/>
        <scheme val="minor"/>
      </rPr>
      <t>(R$)</t>
    </r>
  </si>
  <si>
    <r>
      <t>Consumo</t>
    </r>
    <r>
      <rPr>
        <vertAlign val="superscript"/>
        <sz val="11"/>
        <color theme="0"/>
        <rFont val="Calibri"/>
        <family val="2"/>
        <scheme val="minor"/>
      </rPr>
      <t xml:space="preserve"> 2,4</t>
    </r>
    <r>
      <rPr>
        <sz val="11"/>
        <color theme="0"/>
        <rFont val="Calibri"/>
        <family val="2"/>
        <scheme val="minor"/>
      </rPr>
      <t xml:space="preserve"> (KWh)</t>
    </r>
  </si>
  <si>
    <t>Total (R$)</t>
  </si>
  <si>
    <t>1 Custo de Energia (R$): toda a despesa mensal incorrida pela CAESB, incluindo o Consórcio Corumbá, com energia elétrica no referido mês</t>
  </si>
  <si>
    <t>2 Consumo (KWh): todo o consumo mensal de energia elétrica, em KWh, da CAESB no referido mês, incluindo o consumo estimado do Consórcio Corumbá.</t>
  </si>
  <si>
    <t xml:space="preserve">3  As informações de Custo e Consumo de 2024 e 2025 estão líquidas dos custos com o projeto Golfinho, Restaurante, BRB, Caeso e Consórcio Águas lindas. </t>
  </si>
  <si>
    <t>4 As informações de Custo e Consumo a partir de maio de 2024 consideram a soma do Mercado Livre e Mercado Cativo.</t>
  </si>
  <si>
    <t>Fonte: CAESB</t>
  </si>
  <si>
    <t>Variação nos custos de energia elétrica (Δenergia)</t>
  </si>
  <si>
    <t>Descrição</t>
  </si>
  <si>
    <t>Custo de Energia (R$)</t>
    <phoneticPr fontId="0" type="noConversion"/>
  </si>
  <si>
    <t>Consumo (MWh)</t>
    <phoneticPr fontId="0" type="noConversion"/>
  </si>
  <si>
    <t>R$/MWh</t>
  </si>
  <si>
    <t>Período de Referência</t>
  </si>
  <si>
    <t>Período de Referência Anterior</t>
  </si>
  <si>
    <t>Δenergia</t>
  </si>
  <si>
    <t>Apuração do Bônus-desconto para o Reajuste 2026</t>
  </si>
  <si>
    <t>Categoria Residencial - Padrão</t>
  </si>
  <si>
    <t>Quadro Resumo - Bônus-Desconto</t>
  </si>
  <si>
    <t xml:space="preserve"> Período de Referência (A) </t>
  </si>
  <si>
    <t xml:space="preserve">Consumo (m³) </t>
  </si>
  <si>
    <t xml:space="preserve">Período de Apuração (B) </t>
  </si>
  <si>
    <t>Economia em m³</t>
  </si>
  <si>
    <t>Residencial Padrão</t>
  </si>
  <si>
    <t>Residencial Social</t>
  </si>
  <si>
    <t>Comercial</t>
  </si>
  <si>
    <t>Industrial</t>
  </si>
  <si>
    <t xml:space="preserve">Economia (m³)  </t>
  </si>
  <si>
    <t xml:space="preserve">Bônus Desconto (%) -  Lei 4.341/09 </t>
  </si>
  <si>
    <t>Base de Cálculo (m³)</t>
  </si>
  <si>
    <t>Tarifa Inicial (R$)*</t>
  </si>
  <si>
    <t>Bônus-desconto (R$)</t>
  </si>
  <si>
    <t>Bônus-desconto total</t>
  </si>
  <si>
    <t>*Tarifas vigentes em jun/2025 de acordo com a Resolução nº 53/2025 - ADASA de 25 de abril de 2025</t>
  </si>
  <si>
    <t>Valor do Bônus-Desconto (R$) - Parcela A</t>
  </si>
  <si>
    <r>
      <t>VPA-BD</t>
    </r>
    <r>
      <rPr>
        <vertAlign val="subscript"/>
        <sz val="11"/>
        <rFont val="Calibri"/>
        <family val="2"/>
        <scheme val="minor"/>
      </rPr>
      <t>DRP</t>
    </r>
  </si>
  <si>
    <t>Mercado de Referência (m³) - jan a dez/2025</t>
  </si>
  <si>
    <t>MR (m³)</t>
  </si>
  <si>
    <t>Tarifa Bônus-desconto (R$/m³)</t>
  </si>
  <si>
    <r>
      <t>TA-BD</t>
    </r>
    <r>
      <rPr>
        <b/>
        <vertAlign val="subscript"/>
        <sz val="11"/>
        <color theme="0"/>
        <rFont val="Calibri"/>
        <family val="2"/>
        <scheme val="minor"/>
      </rPr>
      <t>DRP</t>
    </r>
    <r>
      <rPr>
        <b/>
        <sz val="11"/>
        <color theme="0"/>
        <rFont val="Calibri"/>
        <family val="2"/>
        <scheme val="minor"/>
      </rPr>
      <t xml:space="preserve"> = VPA-BD</t>
    </r>
    <r>
      <rPr>
        <b/>
        <vertAlign val="subscript"/>
        <sz val="11"/>
        <color theme="0"/>
        <rFont val="Calibri"/>
        <family val="2"/>
        <scheme val="minor"/>
      </rPr>
      <t>DRP</t>
    </r>
    <r>
      <rPr>
        <b/>
        <sz val="11"/>
        <color theme="0"/>
        <rFont val="Calibri"/>
        <family val="2"/>
        <scheme val="minor"/>
      </rPr>
      <t xml:space="preserve">/MR </t>
    </r>
  </si>
  <si>
    <t>Categoria Residencial - Social</t>
  </si>
  <si>
    <t>Categoria Comercial</t>
  </si>
  <si>
    <t>Categoria Industrial</t>
  </si>
  <si>
    <r>
      <t>Volume de Água Produzida e de Esgoto Coletado pela CAESB (m</t>
    </r>
    <r>
      <rPr>
        <b/>
        <vertAlign val="superscript"/>
        <sz val="12"/>
        <color indexed="9"/>
        <rFont val="Calibri"/>
        <family val="2"/>
        <scheme val="minor"/>
      </rPr>
      <t>3</t>
    </r>
    <r>
      <rPr>
        <b/>
        <sz val="12"/>
        <color indexed="9"/>
        <rFont val="Calibri"/>
        <family val="2"/>
        <scheme val="minor"/>
      </rPr>
      <t>)</t>
    </r>
  </si>
  <si>
    <t>Total</t>
    <phoneticPr fontId="1" type="noConversion"/>
  </si>
  <si>
    <t>Volume de Água Produzida</t>
    <phoneticPr fontId="1" type="noConversion"/>
  </si>
  <si>
    <t>Volume de Esgoto Coletado</t>
    <phoneticPr fontId="1" type="noConversion"/>
  </si>
  <si>
    <t>Total</t>
  </si>
  <si>
    <r>
      <t>I - Volume Faturado de Água (m</t>
    </r>
    <r>
      <rPr>
        <b/>
        <vertAlign val="superscript"/>
        <sz val="12"/>
        <color indexed="9"/>
        <rFont val="Calibri"/>
        <family val="2"/>
        <scheme val="minor"/>
      </rPr>
      <t>3</t>
    </r>
    <r>
      <rPr>
        <b/>
        <sz val="12"/>
        <color indexed="9"/>
        <rFont val="Calibri"/>
        <family val="2"/>
        <scheme val="minor"/>
      </rPr>
      <t>)</t>
    </r>
  </si>
  <si>
    <t>Categoria</t>
  </si>
  <si>
    <t>Faixa</t>
  </si>
  <si>
    <t>0 a 7</t>
  </si>
  <si>
    <t>8 a 13</t>
  </si>
  <si>
    <t>14 a 20</t>
  </si>
  <si>
    <t>21 a 30</t>
  </si>
  <si>
    <t>31 a 45</t>
  </si>
  <si>
    <t>&gt; 45</t>
  </si>
  <si>
    <t>Sub-total</t>
  </si>
  <si>
    <t>0 a 4</t>
  </si>
  <si>
    <t>5 a 7</t>
  </si>
  <si>
    <t>8 a 10</t>
  </si>
  <si>
    <t>11 a 40</t>
  </si>
  <si>
    <t>&gt; 40</t>
  </si>
  <si>
    <t>Pública</t>
  </si>
  <si>
    <t>Total Geral</t>
  </si>
  <si>
    <t>Saneago</t>
  </si>
  <si>
    <t>Água Bruta</t>
  </si>
  <si>
    <t>Saneago + Água Bruta</t>
  </si>
  <si>
    <t>Total Geral com água bruta</t>
  </si>
  <si>
    <r>
      <t>II - Volume Faturado de Esgoto (m</t>
    </r>
    <r>
      <rPr>
        <b/>
        <vertAlign val="superscript"/>
        <sz val="12"/>
        <color indexed="9"/>
        <rFont val="Calibri"/>
        <family val="2"/>
        <scheme val="minor"/>
      </rPr>
      <t>3</t>
    </r>
    <r>
      <rPr>
        <b/>
        <sz val="12"/>
        <color indexed="9"/>
        <rFont val="Calibri"/>
        <family val="2"/>
        <scheme val="minor"/>
      </rPr>
      <t>)</t>
    </r>
  </si>
  <si>
    <t>Específico - SANEAGO Esgoto</t>
  </si>
  <si>
    <r>
      <t>III - Volume Faturado de Água e de Esgoto (m</t>
    </r>
    <r>
      <rPr>
        <b/>
        <vertAlign val="superscript"/>
        <sz val="12"/>
        <color theme="0"/>
        <rFont val="Calibri"/>
        <family val="2"/>
        <scheme val="minor"/>
      </rPr>
      <t>3</t>
    </r>
    <r>
      <rPr>
        <b/>
        <sz val="12"/>
        <color theme="0"/>
        <rFont val="Calibri"/>
        <family val="2"/>
        <scheme val="minor"/>
      </rPr>
      <t>)</t>
    </r>
  </si>
  <si>
    <t>Total Geral com água bruta+SANEAGO</t>
  </si>
  <si>
    <t>Valor da Parcela A - 2026 - DRP</t>
  </si>
  <si>
    <t>Taxa de Fiscalização do Serviço - TFS</t>
    <phoneticPr fontId="0" type="noConversion"/>
  </si>
  <si>
    <r>
      <t>Volume Faturado de Água (m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</si>
  <si>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r>
      <t>Volume Faturado de Esgoto (m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</si>
  <si>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r>
      <t>Volume Faturado Total  (m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</si>
  <si>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t>Benefício Econômico de Saneamento - Bes (R$)</t>
    <phoneticPr fontId="0" type="noConversion"/>
  </si>
  <si>
    <t>TFS = 1% x Bes (R$)</t>
  </si>
  <si>
    <t>Taxa de Fiscalização do Uso - TFU</t>
    <phoneticPr fontId="0" type="noConversion"/>
  </si>
  <si>
    <r>
      <t>Volume de Água Produzida (m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</si>
  <si>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r>
      <t>Volume de Esgoto Coletado (m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</si>
  <si>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r>
      <t>Volume Produzido e Coletado Total - Vp (m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</si>
  <si>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t>Benefício Econômico de Uso Auferido - Beu(a) (R$)</t>
    <phoneticPr fontId="0" type="noConversion"/>
  </si>
  <si>
    <t>TFU = 2,5% x Beu(a) (R$)</t>
  </si>
  <si>
    <t>Itens de Custo da Parcela A</t>
  </si>
  <si>
    <t xml:space="preserve">Valor </t>
  </si>
  <si>
    <t>Taxa de Fiscalização do Serviço - TFS</t>
  </si>
  <si>
    <t>Taxa de Fiscalização do Uso - TFU</t>
  </si>
  <si>
    <t>Valor Conselho de Consumidores da Caesb</t>
  </si>
  <si>
    <t>Pagamento pelo uso dos recursos hídricos de domínio da União - 2027</t>
  </si>
  <si>
    <t>Pagamento pelo uso dos recursos hídricos de domínio do DF - 2027</t>
  </si>
  <si>
    <t>Pagamento por Serviços de Proteção de Recursos Hídricos - PSPRH</t>
  </si>
  <si>
    <t>Receita Operacional Direta 2023</t>
  </si>
  <si>
    <r>
      <t xml:space="preserve">Valor da Parcela A (VPA </t>
    </r>
    <r>
      <rPr>
        <b/>
        <vertAlign val="subscript"/>
        <sz val="11"/>
        <color theme="0"/>
        <rFont val="Calibri"/>
        <family val="2"/>
        <scheme val="minor"/>
      </rPr>
      <t>DRP</t>
    </r>
    <r>
      <rPr>
        <b/>
        <sz val="11"/>
        <color theme="0"/>
        <rFont val="Calibri"/>
        <family val="2"/>
        <scheme val="minor"/>
      </rPr>
      <t>)</t>
    </r>
  </si>
  <si>
    <t>Valor da Parcela A (R$)</t>
  </si>
  <si>
    <r>
      <t>VPA</t>
    </r>
    <r>
      <rPr>
        <vertAlign val="subscript"/>
        <sz val="11"/>
        <rFont val="Calibri"/>
        <family val="2"/>
        <scheme val="minor"/>
      </rPr>
      <t>DRP</t>
    </r>
  </si>
  <si>
    <t>MR</t>
  </si>
  <si>
    <t>Tarifa da parcela A (R$/m³)</t>
  </si>
  <si>
    <r>
      <t>TA</t>
    </r>
    <r>
      <rPr>
        <b/>
        <vertAlign val="subscript"/>
        <sz val="10.5"/>
        <color theme="0"/>
        <rFont val="Calibri"/>
        <family val="2"/>
        <scheme val="minor"/>
      </rPr>
      <t>DRP</t>
    </r>
    <r>
      <rPr>
        <b/>
        <sz val="10.5"/>
        <color theme="0"/>
        <rFont val="Calibri"/>
        <family val="2"/>
        <scheme val="minor"/>
      </rPr>
      <t xml:space="preserve"> = VPA</t>
    </r>
    <r>
      <rPr>
        <b/>
        <vertAlign val="subscript"/>
        <sz val="10.5"/>
        <color theme="0"/>
        <rFont val="Calibri"/>
        <family val="2"/>
        <scheme val="minor"/>
      </rPr>
      <t>DRP</t>
    </r>
    <r>
      <rPr>
        <b/>
        <sz val="10.5"/>
        <color theme="0"/>
        <rFont val="Calibri"/>
        <family val="2"/>
        <scheme val="minor"/>
      </rPr>
      <t>/MR</t>
    </r>
  </si>
  <si>
    <t>Valor da Parcela B 2026 - DRP</t>
  </si>
  <si>
    <t>IrB (%)</t>
    <phoneticPr fontId="0" type="noConversion"/>
  </si>
  <si>
    <t>Custos</t>
  </si>
  <si>
    <t>Proporção (%)</t>
  </si>
  <si>
    <t>Variação (%)</t>
    <phoneticPr fontId="0" type="noConversion"/>
  </si>
  <si>
    <t xml:space="preserve"> Impacto no IrB (%)</t>
  </si>
  <si>
    <t>Pessoal</t>
  </si>
  <si>
    <t>%P x ΔINPC</t>
    <phoneticPr fontId="0" type="noConversion"/>
  </si>
  <si>
    <t>Energia Elétrica</t>
  </si>
  <si>
    <t>%EE x Δenergia</t>
    <phoneticPr fontId="0" type="noConversion"/>
  </si>
  <si>
    <t xml:space="preserve">Material </t>
  </si>
  <si>
    <t>%MT x ΔIPCA</t>
  </si>
  <si>
    <t>Remuneração dos Investimentos</t>
  </si>
  <si>
    <t>%RI x ΔIPCA</t>
  </si>
  <si>
    <t>Outros Custos</t>
  </si>
  <si>
    <t>% OC x ΔIPCA</t>
  </si>
  <si>
    <t>IrB = (%P x ΔINPC) + (%EE x ΔEnergia) + (%MT x ΔIPCA) + (%RI x ΔIPCA) + (% OC x ΔIPCA)</t>
  </si>
  <si>
    <t>Fonte: 4ª Revisão Tarifária Periódica</t>
  </si>
  <si>
    <t>(%RI+%MT+%OC) x ΔIPCA</t>
  </si>
  <si>
    <t xml:space="preserve"> </t>
  </si>
  <si>
    <t>Índice que Reajusta a Parcela B</t>
    <phoneticPr fontId="0" type="noConversion"/>
  </si>
  <si>
    <t>IrB</t>
    <phoneticPr fontId="0" type="noConversion"/>
  </si>
  <si>
    <t>Fator X</t>
    <phoneticPr fontId="0" type="noConversion"/>
  </si>
  <si>
    <t>Índice Acumulado = IrB - X</t>
  </si>
  <si>
    <t>Tarifa de Parcela B</t>
  </si>
  <si>
    <r>
      <t>TB</t>
    </r>
    <r>
      <rPr>
        <b/>
        <vertAlign val="subscript"/>
        <sz val="11"/>
        <rFont val="Calibri"/>
        <family val="2"/>
        <scheme val="minor"/>
      </rPr>
      <t>DRA</t>
    </r>
  </si>
  <si>
    <r>
      <t>TB</t>
    </r>
    <r>
      <rPr>
        <b/>
        <vertAlign val="subscript"/>
        <sz val="11"/>
        <rFont val="Calibri"/>
        <family val="2"/>
        <scheme val="minor"/>
      </rPr>
      <t>DRP</t>
    </r>
  </si>
  <si>
    <t>Valor dos Componentes Financeiros 2026 - DRP</t>
  </si>
  <si>
    <t>DISCRIMINAÇÃO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</si>
  <si>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</si>
  <si>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</si>
  <si>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</si>
  <si>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</si>
  <si>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</si>
  <si>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</si>
  <si>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</si>
  <si>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</si>
  <si>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</si>
  <si>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</si>
  <si>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</si>
  <si>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</si>
  <si>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</si>
  <si>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Receita Operacional Direta</t>
  </si>
  <si>
    <t>R$</t>
  </si>
  <si>
    <r>
      <t xml:space="preserve">volume </t>
    </r>
    <r>
      <rPr>
        <sz val="11"/>
        <rFont val="Calibri"/>
        <family val="2"/>
      </rPr>
      <t>produzido Ag</t>
    </r>
  </si>
  <si>
    <t>m³</t>
  </si>
  <si>
    <r>
      <t xml:space="preserve">volume </t>
    </r>
    <r>
      <rPr>
        <sz val="11"/>
        <rFont val="Calibri"/>
        <family val="2"/>
      </rPr>
      <t>coletado Esg</t>
    </r>
  </si>
  <si>
    <t>Total vol prod Ag + Esg</t>
  </si>
  <si>
    <r>
      <t xml:space="preserve">volume </t>
    </r>
    <r>
      <rPr>
        <sz val="11"/>
        <rFont val="Calibri"/>
        <family val="2"/>
      </rPr>
      <t>faturado Ag</t>
    </r>
  </si>
  <si>
    <r>
      <t xml:space="preserve">volume </t>
    </r>
    <r>
      <rPr>
        <sz val="11"/>
        <rFont val="Calibri"/>
        <family val="2"/>
      </rPr>
      <t>faturado Esg</t>
    </r>
  </si>
  <si>
    <t>Total vol fat Ag + Esg</t>
  </si>
  <si>
    <t>Tarifa Média</t>
  </si>
  <si>
    <t>R$/m³</t>
  </si>
  <si>
    <t>Bes</t>
  </si>
  <si>
    <t>Beu</t>
  </si>
  <si>
    <t>TFU (2,5%)</t>
  </si>
  <si>
    <t>TFS (1%)</t>
  </si>
  <si>
    <t>Mês</t>
  </si>
  <si>
    <t>CPA</t>
  </si>
  <si>
    <t>VPA</t>
  </si>
  <si>
    <t>CF</t>
  </si>
  <si>
    <t>Tarifa da parcela A (R$/m³) - 2025</t>
  </si>
  <si>
    <r>
      <t>TA</t>
    </r>
    <r>
      <rPr>
        <b/>
        <vertAlign val="subscript"/>
        <sz val="11"/>
        <color theme="1"/>
        <rFont val="Calibri"/>
        <family val="2"/>
        <scheme val="minor"/>
      </rPr>
      <t>DRA</t>
    </r>
    <r>
      <rPr>
        <b/>
        <sz val="11"/>
        <color theme="1"/>
        <rFont val="Calibri"/>
        <family val="2"/>
        <scheme val="minor"/>
      </rPr>
      <t xml:space="preserve"> = VPA</t>
    </r>
    <r>
      <rPr>
        <b/>
        <vertAlign val="subscript"/>
        <sz val="11"/>
        <color theme="1"/>
        <rFont val="Calibri"/>
        <family val="2"/>
        <scheme val="minor"/>
      </rPr>
      <t>DRA</t>
    </r>
    <r>
      <rPr>
        <b/>
        <sz val="11"/>
        <color theme="1"/>
        <rFont val="Calibri"/>
        <family val="2"/>
        <scheme val="minor"/>
      </rPr>
      <t>/MR</t>
    </r>
  </si>
  <si>
    <t>jan</t>
  </si>
  <si>
    <t>Valor do Componente Financeiro (R$)</t>
  </si>
  <si>
    <r>
      <rPr>
        <b/>
        <sz val="11"/>
        <rFont val="Calibri"/>
        <family val="2"/>
        <scheme val="minor"/>
      </rPr>
      <t>CF</t>
    </r>
    <r>
      <rPr>
        <b/>
        <vertAlign val="subscript"/>
        <sz val="11"/>
        <rFont val="Calibri"/>
        <family val="2"/>
        <scheme val="minor"/>
      </rPr>
      <t>DRP</t>
    </r>
  </si>
  <si>
    <t>fev</t>
  </si>
  <si>
    <t>mar</t>
  </si>
  <si>
    <t>Tarifa de Componentes Financeiros (R$/m³)</t>
  </si>
  <si>
    <r>
      <t>TF</t>
    </r>
    <r>
      <rPr>
        <b/>
        <vertAlign val="subscript"/>
        <sz val="10.5"/>
        <color theme="0"/>
        <rFont val="Calibri"/>
        <family val="2"/>
        <scheme val="minor"/>
      </rPr>
      <t>DRP</t>
    </r>
    <r>
      <rPr>
        <b/>
        <sz val="10.5"/>
        <color theme="0"/>
        <rFont val="Calibri"/>
        <family val="2"/>
        <scheme val="minor"/>
      </rPr>
      <t xml:space="preserve"> = CF</t>
    </r>
    <r>
      <rPr>
        <b/>
        <vertAlign val="subscript"/>
        <sz val="10.5"/>
        <color theme="0"/>
        <rFont val="Calibri"/>
        <family val="2"/>
        <scheme val="minor"/>
      </rPr>
      <t>DRP</t>
    </r>
    <r>
      <rPr>
        <b/>
        <sz val="10.5"/>
        <color theme="0"/>
        <rFont val="Calibri"/>
        <family val="2"/>
        <scheme val="minor"/>
      </rPr>
      <t>/MR</t>
    </r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</si>
  <si>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</si>
  <si>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</si>
  <si>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</si>
  <si>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</si>
  <si>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</si>
  <si>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</si>
  <si>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</si>
  <si>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</si>
  <si>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</si>
  <si>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Outros Componentes Financeiros </t>
  </si>
  <si>
    <t>CF total (R$)</t>
  </si>
  <si>
    <r>
      <t>TF</t>
    </r>
    <r>
      <rPr>
        <b/>
        <vertAlign val="subscript"/>
        <sz val="11"/>
        <color theme="0"/>
        <rFont val="Calibri"/>
        <family val="2"/>
        <scheme val="minor"/>
      </rPr>
      <t>DRA</t>
    </r>
  </si>
  <si>
    <t>Diferença no pagamento pelo uso dos recursos hídricos de domínio da União - valor atualizado pelo IPCA (jun/24 a dez/2025)</t>
  </si>
  <si>
    <t xml:space="preserve">   Previsão de pagamento pelo uso dos recursos hídricos de domínio da União - 2025</t>
  </si>
  <si>
    <t xml:space="preserve">   Valor efetivamente pago pelo uso dos recursos hídricos de domínio da União - 2025</t>
  </si>
  <si>
    <t>Diferença no pagamento pelo uso dos recursos hídricos de domínio do DF - valor atualizado pelo IPCA (jun/24 a dez/2025)</t>
  </si>
  <si>
    <t xml:space="preserve">   Previsão de pagamento pelo uso dos recursos hídricos de domínio do DF - 2025</t>
  </si>
  <si>
    <t xml:space="preserve">   Previsão de pagamento pelo uso dos recursos hídricos de domínio do DF - 2025 - a pagar em 2026</t>
  </si>
  <si>
    <t xml:space="preserve">   Valor efetivamente pago pelo uso dos recursos hídricos de domínio do DF - 2025</t>
  </si>
  <si>
    <t>Tarifa de Contingência</t>
  </si>
  <si>
    <t xml:space="preserve">   Extrato bancário de 31/12/2025</t>
  </si>
  <si>
    <t>Valor a devolver referente ao PDI</t>
  </si>
  <si>
    <t xml:space="preserve">   Rendimento bruto de aplicação Financeira até 31/12/2025</t>
  </si>
  <si>
    <t xml:space="preserve">   Valor do PDI na parcela A - RTA 2025</t>
  </si>
  <si>
    <t xml:space="preserve">   Projetos do PDI aprovados - Resolução Adasa nº 57/2025</t>
  </si>
  <si>
    <t xml:space="preserve">   Pagamento por Serviços de Proteção de Recursos Hídricos - PSPRH - 0,3%</t>
  </si>
  <si>
    <t xml:space="preserve">   Valor previsto para o PSPRH - RTA 2025</t>
  </si>
  <si>
    <t>Valor repassado para Adasa -  Acordo de Repasse Nº 02/2024 - ADASA/CAESB</t>
  </si>
  <si>
    <t>Tarifa Social - Lei Federal nº 14.898/2024</t>
  </si>
  <si>
    <t>Reequilíbrio econômico-financeiro da redução de receita devido à Tarifa Social</t>
  </si>
  <si>
    <t>Incentivo à redução dos custos de energia elétrica</t>
  </si>
  <si>
    <r>
      <t>Incentivo à Economia de Energia (IEE</t>
    </r>
    <r>
      <rPr>
        <vertAlign val="subscript"/>
        <sz val="11"/>
        <color theme="1"/>
        <rFont val="Calibri"/>
        <family val="2"/>
        <scheme val="minor"/>
      </rPr>
      <t>PR</t>
    </r>
    <r>
      <rPr>
        <sz val="11"/>
        <color theme="1"/>
        <rFont val="Calibri"/>
        <family val="2"/>
        <scheme val="minor"/>
      </rPr>
      <t>)</t>
    </r>
  </si>
  <si>
    <t>Ano</t>
  </si>
  <si>
    <t>Custo de Energia (R$)</t>
  </si>
  <si>
    <t>Consumo (KWh)</t>
  </si>
  <si>
    <t>Volume de Água Produzida e Esgoto Coletado</t>
  </si>
  <si>
    <r>
      <t>CEE</t>
    </r>
    <r>
      <rPr>
        <b/>
        <vertAlign val="subscript"/>
        <sz val="12"/>
        <color theme="0"/>
        <rFont val="Calibri"/>
        <family val="2"/>
        <scheme val="minor"/>
      </rPr>
      <t>2021</t>
    </r>
  </si>
  <si>
    <r>
      <t>CEE</t>
    </r>
    <r>
      <rPr>
        <b/>
        <vertAlign val="subscript"/>
        <sz val="12"/>
        <color theme="0"/>
        <rFont val="Calibri"/>
        <family val="2"/>
        <scheme val="minor"/>
      </rPr>
      <t>2022</t>
    </r>
  </si>
  <si>
    <r>
      <t>CEE</t>
    </r>
    <r>
      <rPr>
        <b/>
        <vertAlign val="subscript"/>
        <sz val="12"/>
        <color theme="0"/>
        <rFont val="Calibri"/>
        <family val="2"/>
        <scheme val="minor"/>
      </rPr>
      <t>2023</t>
    </r>
  </si>
  <si>
    <r>
      <t>CEE</t>
    </r>
    <r>
      <rPr>
        <b/>
        <vertAlign val="subscript"/>
        <sz val="12"/>
        <color theme="0"/>
        <rFont val="Calibri"/>
        <family val="2"/>
        <scheme val="minor"/>
      </rPr>
      <t>m</t>
    </r>
  </si>
  <si>
    <r>
      <t>V</t>
    </r>
    <r>
      <rPr>
        <b/>
        <vertAlign val="subscript"/>
        <sz val="12"/>
        <color theme="0"/>
        <rFont val="Calibri"/>
        <family val="2"/>
        <scheme val="minor"/>
      </rPr>
      <t>total PR</t>
    </r>
  </si>
  <si>
    <r>
      <t>CE</t>
    </r>
    <r>
      <rPr>
        <b/>
        <vertAlign val="subscript"/>
        <sz val="12"/>
        <color theme="0"/>
        <rFont val="Calibri"/>
        <family val="2"/>
        <scheme val="minor"/>
      </rPr>
      <t>PR</t>
    </r>
  </si>
  <si>
    <r>
      <t>CME</t>
    </r>
    <r>
      <rPr>
        <b/>
        <vertAlign val="subscript"/>
        <sz val="12"/>
        <color theme="0"/>
        <rFont val="Calibri"/>
        <family val="2"/>
        <scheme val="minor"/>
      </rPr>
      <t>ano base</t>
    </r>
  </si>
  <si>
    <r>
      <t>IRT</t>
    </r>
    <r>
      <rPr>
        <b/>
        <vertAlign val="subscript"/>
        <sz val="12"/>
        <color theme="0"/>
        <rFont val="Calibri"/>
        <family val="2"/>
        <scheme val="minor"/>
      </rPr>
      <t>EE</t>
    </r>
  </si>
  <si>
    <r>
      <t>CTE</t>
    </r>
    <r>
      <rPr>
        <b/>
        <vertAlign val="subscript"/>
        <sz val="12"/>
        <color theme="0"/>
        <rFont val="Calibri"/>
        <family val="2"/>
        <scheme val="minor"/>
      </rPr>
      <t>REF</t>
    </r>
  </si>
  <si>
    <r>
      <t>DIF</t>
    </r>
    <r>
      <rPr>
        <b/>
        <vertAlign val="subscript"/>
        <sz val="12"/>
        <color theme="0"/>
        <rFont val="Calibri"/>
        <family val="2"/>
        <scheme val="minor"/>
      </rPr>
      <t>PR</t>
    </r>
  </si>
  <si>
    <r>
      <t>Parcela</t>
    </r>
    <r>
      <rPr>
        <b/>
        <vertAlign val="subscript"/>
        <sz val="12"/>
        <color theme="0"/>
        <rFont val="Calibri"/>
        <family val="2"/>
        <scheme val="minor"/>
      </rPr>
      <t>Inc</t>
    </r>
  </si>
  <si>
    <r>
      <t>IEE</t>
    </r>
    <r>
      <rPr>
        <b/>
        <vertAlign val="subscript"/>
        <sz val="12"/>
        <color theme="0"/>
        <rFont val="Calibri"/>
        <family val="2"/>
        <scheme val="minor"/>
      </rPr>
      <t>PR</t>
    </r>
  </si>
  <si>
    <t>Valor do RTA 2026</t>
  </si>
  <si>
    <t>Valores da DRA</t>
  </si>
  <si>
    <t>Valores da DRP</t>
  </si>
  <si>
    <t>Valor Parcela A</t>
  </si>
  <si>
    <t>Valor do Bônus-desconto - Parcela A:</t>
  </si>
  <si>
    <t>VPA-BD</t>
  </si>
  <si>
    <t xml:space="preserve">Valor da Parcela B: </t>
    <phoneticPr fontId="0" type="noConversion"/>
  </si>
  <si>
    <t>VPB</t>
  </si>
  <si>
    <t xml:space="preserve">Valor do Componente Financeiro </t>
  </si>
  <si>
    <t>VCF</t>
  </si>
  <si>
    <t>Receita Anual:</t>
  </si>
  <si>
    <t>RA</t>
  </si>
  <si>
    <t>Mercado de Referência (m³) - jan a dez</t>
  </si>
  <si>
    <t>Fonte: 4ª Revisão Tarifária Periódica - 4º RTP</t>
  </si>
  <si>
    <t>Disponível em: Nota Técnica N.º 5/2024 - ADASA/SEF/CORE</t>
  </si>
  <si>
    <t>Tarifa</t>
  </si>
  <si>
    <r>
      <t>DRA (R$/m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>)</t>
    </r>
  </si>
  <si>
    <t>DRP (R$/m³)</t>
  </si>
  <si>
    <t xml:space="preserve">Tarifa de Parcela A:                                                                    </t>
  </si>
  <si>
    <t>TA</t>
  </si>
  <si>
    <t>Tarifa Bônus-desconto</t>
  </si>
  <si>
    <t>TA-BD</t>
  </si>
  <si>
    <t xml:space="preserve">Tarifa de Parcela B: </t>
    <phoneticPr fontId="0" type="noConversion"/>
  </si>
  <si>
    <t>TB</t>
  </si>
  <si>
    <t>Tarifa Componentes Financeiros</t>
  </si>
  <si>
    <t>TF</t>
  </si>
  <si>
    <t xml:space="preserve">Tarifa Final: </t>
  </si>
  <si>
    <t>Índice de Reajuste Tarifário</t>
  </si>
  <si>
    <t>Faturamento Água - dez/2025</t>
  </si>
  <si>
    <t>Unidades de Consumo</t>
  </si>
  <si>
    <t>Valor Faturado</t>
  </si>
  <si>
    <t>Tarifa Social</t>
  </si>
  <si>
    <t>1 a 7</t>
  </si>
  <si>
    <t>21 a 31</t>
  </si>
  <si>
    <t>46 a *</t>
  </si>
  <si>
    <t>-</t>
  </si>
  <si>
    <t>Faturamento Esgoto - dez/2025</t>
  </si>
  <si>
    <t>Fonte: Relatório de Faturamento CAESB</t>
  </si>
  <si>
    <t>Valor Faturado da Tarifa Social - dez/25</t>
  </si>
  <si>
    <t>Total do Número de Unidades de Água - dez/25</t>
  </si>
  <si>
    <t>Faturamento Médio por Unidade de Consumo</t>
  </si>
  <si>
    <t>Total do Número de Unidades de Água - dez/24</t>
  </si>
  <si>
    <t>Compensação da Tarifa Social - Lei Federal nº 14.898/2024</t>
  </si>
  <si>
    <t>Valor das Tarifas RTA 2026</t>
  </si>
  <si>
    <t>Tarifas resultantes da RTA 2025</t>
  </si>
  <si>
    <t>Tarifas resultantes do RTA 2026</t>
  </si>
  <si>
    <t>Tarifas dos serviços públicos de abastecimento de água e esgotamento sanitário a vigorar no período de 1º de junho de 2025 a 31 de maio de 2026</t>
  </si>
  <si>
    <t>Tarifas dos serviços públicos de abastecimento de água e esgotamento sanitário a vigorar no período de 1º de junho de 2026 a 31 de maio de 2027</t>
  </si>
  <si>
    <t xml:space="preserve"> Faixa de Consumo (m³)</t>
  </si>
  <si>
    <t>Tarifa Fixa (R$)</t>
  </si>
  <si>
    <t>Tarifa Variável (R$/m³)</t>
  </si>
  <si>
    <t xml:space="preserve">Residencial </t>
  </si>
  <si>
    <t>Acima de 45</t>
  </si>
  <si>
    <t>Não - Residencial (Comercial, Industrial e Pública)</t>
  </si>
  <si>
    <t xml:space="preserve">8 a 10 </t>
  </si>
  <si>
    <t xml:space="preserve">11 a 40 </t>
  </si>
  <si>
    <t>Acima de 40</t>
  </si>
  <si>
    <t>Paisagismo</t>
  </si>
  <si>
    <t>Resolução n° 53, de 25 de abril de 2025</t>
  </si>
  <si>
    <t>Companhia de Saneamento Ambiental do Distrito Federal - CAESB</t>
  </si>
  <si>
    <t>Revisão Tarifária Periódica (4ª RTP)</t>
  </si>
  <si>
    <t>Reposicionamento Tarifário</t>
  </si>
  <si>
    <t>Parcela A (VPA)</t>
  </si>
  <si>
    <t>em R$</t>
  </si>
  <si>
    <t>. Bônus desconto</t>
  </si>
  <si>
    <t xml:space="preserve">. TFS  </t>
  </si>
  <si>
    <t>. TFU</t>
  </si>
  <si>
    <t>. Conselho de consumidores</t>
  </si>
  <si>
    <t>. Pagamento pelo uso dos recursos hídricos de domínio da União - 2025</t>
  </si>
  <si>
    <t>. Pagamento pelo uso dos recursos hídricos de domínio do DF - 2025</t>
  </si>
  <si>
    <t>. Pagamento por Serviços de Proteção de Recursos Hídricos - PSPRH</t>
  </si>
  <si>
    <t>Total Parcela A (VPA)</t>
  </si>
  <si>
    <t>Parcela B (VPB)</t>
  </si>
  <si>
    <t>. Custos Operacionais 4ª RTP</t>
  </si>
  <si>
    <t>. Pessoal</t>
  </si>
  <si>
    <t>. Terceiros</t>
  </si>
  <si>
    <t>. Material</t>
  </si>
  <si>
    <t>. Gerais</t>
  </si>
  <si>
    <t>. Depreciação</t>
  </si>
  <si>
    <t>. Impostos e taxas</t>
  </si>
  <si>
    <t>. Energia elétrica</t>
  </si>
  <si>
    <t>. Receitas Irrecuperáveis</t>
  </si>
  <si>
    <t>. Remuneração Adequada</t>
  </si>
  <si>
    <t xml:space="preserve">. Remuneração dos Investimentos </t>
  </si>
  <si>
    <t>. Quota de Reintegração Regulatória</t>
  </si>
  <si>
    <t>. Remuneração dos Ativos de Almoxarifado</t>
  </si>
  <si>
    <t>Total Parcela B (VPB)</t>
  </si>
  <si>
    <t>Parcela CF (VCF)</t>
  </si>
  <si>
    <t>. Devolução do PASEP/COFINS de 2019 - saldo 3ª parcela</t>
  </si>
  <si>
    <t>. Compensação do adiamento da 3ª RTP</t>
  </si>
  <si>
    <t>. Diferença no pagamento pelo uso dos recursos hídricos de domínio da União</t>
  </si>
  <si>
    <t>. Devolução do pagamento pelo uso dos recursos hídricos de domínio do DF</t>
  </si>
  <si>
    <t>. Valor a devolver referente ao PDI - rendimentos de aplicações financeiras</t>
  </si>
  <si>
    <t>. Valor a devolver referente a Tarifa de Contingência</t>
  </si>
  <si>
    <t>. Compensação Tributária PASEP/COFINS</t>
  </si>
  <si>
    <t>. Compensação RTA 2023</t>
  </si>
  <si>
    <t>. Percentual de aumento não aplicado (1,88%) na RTE</t>
  </si>
  <si>
    <t>. Valor da economia de energia elétrica gerada pela Usina Fotovoltaica - Sede</t>
  </si>
  <si>
    <t>. Custos para avaliação dos ativos da BAR incremental - saldo contratual</t>
  </si>
  <si>
    <t>Total Parcela CF (VCF)</t>
  </si>
  <si>
    <t>. Receita Requerida (VPA + VPB + VCF)</t>
  </si>
  <si>
    <t>(-) Outras Receitas</t>
  </si>
  <si>
    <t>. Receita Requerida Líquida (A)</t>
  </si>
  <si>
    <t>. Receita Verificada (B)</t>
  </si>
  <si>
    <t>Reposicionamento Tarifário - RT (A/B-1)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</si>
</sst>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#,##0.0000"/>
    <numFmt numFmtId="166" formatCode="_-* #,##0_-;\-* #,##0_-;_-* &quot;-&quot;??_-;_-@_-"/>
    <numFmt numFmtId="167" formatCode="_(* #,##0.00_);_(* \(#,##0.00\);_(* &quot;-&quot;??_);_(@_)"/>
    <numFmt numFmtId="168" formatCode="mmm\-yy"/>
    <numFmt numFmtId="169" formatCode="0.0000"/>
    <numFmt numFmtId="170" formatCode="_(&quot;R$ &quot;* #,##0.00_);_(&quot;R$ &quot;* \(#,##0.00\);_(&quot;R$ &quot;* &quot;-&quot;??_);_(@_)"/>
    <numFmt numFmtId="171" formatCode="_-* #,##0.0000_-;\-* #,##0.0000_-;_-* &quot;-&quot;??_-;_-@_-"/>
    <numFmt numFmtId="172" formatCode="mmmm/yyyy"/>
    <numFmt numFmtId="173" formatCode="0.00000"/>
    <numFmt numFmtId="174" formatCode="_(* #,##0_);_(* \(#,##0\);_(* &quot;-&quot;??_);_(@_)"/>
    <numFmt numFmtId="175" formatCode="#,##0;[Red]#,##0"/>
    <numFmt numFmtId="176" formatCode="_(* #,##0_);_(* \(#,##0\);_(* &quot;-&quot;_);_(@_)"/>
    <numFmt numFmtId="177" formatCode="[$-416]mmm\-yy;@"/>
    <numFmt numFmtId="178" formatCode="&quot;R$&quot;#,##0.00"/>
    <numFmt numFmtId="179" formatCode="_-* #,##0.00000_-;\-* #,##0.00000_-;_-* &quot;-&quot;??_-;_-@_-"/>
    <numFmt numFmtId="180" formatCode="0.000000000%"/>
    <numFmt numFmtId="181" formatCode="#,##0.00;[Red]#,##0.00"/>
    <numFmt numFmtId="182" formatCode="_-* #,##0.000_-;\-* #,##0.000_-;_-* &quot;-&quot;??_-;_-@_-"/>
    <numFmt numFmtId="183" formatCode="_-* #,##0.0000_-;\-* #,##0.0000_-;_-* &quot;-&quot;????_-;_-@_-"/>
    <numFmt numFmtId="184" formatCode="#,##0.0"/>
    <numFmt numFmtId="185" formatCode="#,##0.0000;[Red]#,##0.0000"/>
    <numFmt numFmtId="186" formatCode="_(* #,##0.00_);_(* \(#,##0.00\);_(* &quot;-&quot;_);_(@_)"/>
    <numFmt numFmtId="187" formatCode="&quot;R$&quot;\ #,##0.00"/>
    <numFmt numFmtId="188" formatCode="_(* #,##0.0000_);_(* \(#,##0.0000\);_(* &quot;-&quot;??_);_(@_)"/>
    <numFmt numFmtId="189" formatCode="0.000%"/>
    <numFmt numFmtId="190" formatCode="0.0000000%"/>
    <numFmt numFmtId="191" formatCode="_-* #,##0_-;\-* #,##0_-;_-* &quot;-&quot;????_-;_-@_-"/>
    <numFmt numFmtId="192" formatCode="#,##0.000000000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4"/>
      <color indexed="18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1"/>
      <color theme="0"/>
      <name val="Arial"/>
      <family val="2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5"/>
      <color theme="0"/>
      <name val="Arial"/>
      <family val="2"/>
    </font>
    <font>
      <b/>
      <sz val="10"/>
      <name val="Arial"/>
      <family val="2"/>
    </font>
    <font>
      <sz val="15"/>
      <color rgb="FF000000"/>
      <name val="Calibri"/>
      <family val="2"/>
      <scheme val="minor"/>
    </font>
    <font>
      <sz val="15"/>
      <color theme="1"/>
      <name val="Calibri"/>
      <family val="2"/>
      <scheme val="minor"/>
    </font>
    <font>
      <sz val="9"/>
      <color rgb="FFFF0000"/>
      <name val="Arial"/>
      <family val="2"/>
    </font>
    <font>
      <sz val="8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vertAlign val="superscript"/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i/>
      <sz val="14"/>
      <color rgb="FF1F497D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3"/>
      <name val="Arial"/>
      <family val="2"/>
    </font>
    <font>
      <sz val="9"/>
      <color theme="3"/>
      <name val="Arial"/>
      <family val="2"/>
    </font>
    <font>
      <sz val="8"/>
      <name val="Arial"/>
      <family val="2"/>
    </font>
    <font>
      <b/>
      <sz val="10.5"/>
      <color theme="0"/>
      <name val="Calibri"/>
      <family val="2"/>
      <scheme val="minor"/>
    </font>
    <font>
      <b/>
      <vertAlign val="subscript"/>
      <sz val="10.5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sz val="9"/>
      <color indexed="18"/>
      <name val="Arial"/>
      <family val="2"/>
    </font>
    <font>
      <b/>
      <sz val="8"/>
      <color indexed="8"/>
      <name val="Arial"/>
      <family val="2"/>
    </font>
    <font>
      <b/>
      <vertAlign val="superscript"/>
      <sz val="11"/>
      <color theme="0"/>
      <name val="Calibri"/>
      <family val="2"/>
      <scheme val="minor"/>
    </font>
    <font>
      <sz val="10"/>
      <name val="Calibri"/>
      <family val="2"/>
    </font>
    <font>
      <sz val="9"/>
      <color theme="0"/>
      <name val="Arial"/>
      <family val="2"/>
    </font>
    <font>
      <sz val="9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38"/>
      </patternFill>
    </fill>
    <fill>
      <patternFill patternType="solid">
        <fgColor theme="4" tint="-0.249977111117893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2" fillId="0" borderId="0"/>
    <xf numFmtId="0" fontId="3" fillId="0" borderId="0"/>
    <xf numFmtId="16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>
      <alignment vertical="top"/>
    </xf>
    <xf numFmtId="0" fontId="4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4" fillId="0" borderId="0"/>
    <xf numFmtId="44" fontId="1" fillId="0" borderId="0" applyFont="0" applyFill="0" applyBorder="0" applyAlignment="0" applyProtection="0"/>
  </cellStyleXfs>
  <cellXfs count="552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43" fontId="0" fillId="0" borderId="0" xfId="0" applyNumberFormat="1"/>
    <xf numFmtId="0" fontId="3" fillId="0" borderId="0" xfId="4">
      <alignment vertical="top"/>
    </xf>
    <xf numFmtId="3" fontId="3" fillId="0" borderId="0" xfId="4" applyNumberFormat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9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9" applyFont="1" applyFill="1" applyAlignment="1">
      <alignment horizontal="center" vertical="center"/>
    </xf>
    <xf numFmtId="0" fontId="0" fillId="0" borderId="0" xfId="0" applyAlignment="1">
      <alignment horizontal="center"/>
    </xf>
    <xf numFmtId="43" fontId="5" fillId="3" borderId="0" xfId="1" applyFont="1" applyFill="1" applyAlignment="1">
      <alignment vertical="top"/>
    </xf>
    <xf numFmtId="43" fontId="5" fillId="3" borderId="0" xfId="0" applyNumberFormat="1" applyFont="1" applyFill="1" applyAlignment="1">
      <alignment vertical="top"/>
    </xf>
    <xf numFmtId="0" fontId="0" fillId="0" borderId="0" xfId="0" applyAlignment="1">
      <alignment horizontal="center" vertical="top" wrapText="1"/>
    </xf>
    <xf numFmtId="10" fontId="4" fillId="2" borderId="0" xfId="3" applyNumberFormat="1" applyFont="1" applyFill="1"/>
    <xf numFmtId="43" fontId="0" fillId="0" borderId="0" xfId="1" applyFont="1"/>
    <xf numFmtId="0" fontId="8" fillId="0" borderId="0" xfId="0" applyFont="1"/>
    <xf numFmtId="171" fontId="0" fillId="0" borderId="0" xfId="1" applyNumberFormat="1" applyFont="1" applyAlignment="1">
      <alignment horizontal="center" vertical="top" wrapText="1"/>
    </xf>
    <xf numFmtId="0" fontId="0" fillId="3" borderId="0" xfId="0" applyFill="1"/>
    <xf numFmtId="166" fontId="4" fillId="2" borderId="0" xfId="1" applyNumberFormat="1" applyFont="1" applyFill="1" applyAlignment="1">
      <alignment horizontal="center" vertical="center"/>
    </xf>
    <xf numFmtId="166" fontId="0" fillId="0" borderId="0" xfId="0" applyNumberFormat="1"/>
    <xf numFmtId="0" fontId="4" fillId="0" borderId="0" xfId="0" applyFont="1" applyAlignment="1">
      <alignment horizontal="right"/>
    </xf>
    <xf numFmtId="169" fontId="4" fillId="0" borderId="0" xfId="0" applyNumberFormat="1" applyFont="1" applyAlignment="1">
      <alignment horizontal="left"/>
    </xf>
    <xf numFmtId="10" fontId="0" fillId="0" borderId="0" xfId="3" applyNumberFormat="1" applyFont="1"/>
    <xf numFmtId="0" fontId="2" fillId="3" borderId="0" xfId="0" applyFont="1" applyFill="1" applyAlignment="1">
      <alignment horizontal="left" vertical="center" wrapText="1"/>
    </xf>
    <xf numFmtId="3" fontId="2" fillId="3" borderId="0" xfId="0" applyNumberFormat="1" applyFont="1" applyFill="1" applyAlignment="1">
      <alignment horizontal="right" vertical="center"/>
    </xf>
    <xf numFmtId="0" fontId="19" fillId="0" borderId="0" xfId="0" applyFont="1"/>
    <xf numFmtId="0" fontId="23" fillId="6" borderId="0" xfId="0" applyFont="1" applyFill="1"/>
    <xf numFmtId="0" fontId="24" fillId="6" borderId="0" xfId="14" applyFont="1" applyFill="1" applyAlignment="1">
      <alignment horizontal="left" vertical="center" indent="1"/>
    </xf>
    <xf numFmtId="0" fontId="23" fillId="3" borderId="0" xfId="0" applyFont="1" applyFill="1"/>
    <xf numFmtId="0" fontId="24" fillId="6" borderId="0" xfId="0" applyFont="1" applyFill="1" applyAlignment="1">
      <alignment horizontal="left" indent="1"/>
    </xf>
    <xf numFmtId="0" fontId="25" fillId="6" borderId="0" xfId="14" applyFont="1" applyFill="1" applyAlignment="1">
      <alignment horizontal="left" vertical="center" indent="1"/>
    </xf>
    <xf numFmtId="0" fontId="26" fillId="6" borderId="0" xfId="13" applyFont="1" applyFill="1" applyAlignment="1">
      <alignment horizontal="center" vertical="center"/>
    </xf>
    <xf numFmtId="0" fontId="3" fillId="3" borderId="0" xfId="13" applyFill="1"/>
    <xf numFmtId="0" fontId="25" fillId="3" borderId="0" xfId="14" applyFont="1" applyFill="1" applyAlignment="1">
      <alignment horizontal="left" vertical="center" indent="1"/>
    </xf>
    <xf numFmtId="0" fontId="26" fillId="3" borderId="0" xfId="13" applyFont="1" applyFill="1" applyAlignment="1">
      <alignment horizontal="center" vertical="center"/>
    </xf>
    <xf numFmtId="0" fontId="0" fillId="3" borderId="2" xfId="0" applyFill="1" applyBorder="1"/>
    <xf numFmtId="0" fontId="0" fillId="3" borderId="7" xfId="0" applyFill="1" applyBorder="1"/>
    <xf numFmtId="0" fontId="3" fillId="3" borderId="7" xfId="13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3" fillId="3" borderId="0" xfId="13" applyFill="1" applyAlignment="1">
      <alignment vertical="center"/>
    </xf>
    <xf numFmtId="43" fontId="3" fillId="3" borderId="0" xfId="1" applyFont="1" applyFill="1" applyBorder="1" applyAlignment="1">
      <alignment vertical="center"/>
    </xf>
    <xf numFmtId="0" fontId="0" fillId="3" borderId="8" xfId="0" applyFill="1" applyBorder="1"/>
    <xf numFmtId="0" fontId="3" fillId="3" borderId="9" xfId="13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3" fillId="3" borderId="0" xfId="14" applyFill="1" applyAlignment="1">
      <alignment vertical="center"/>
    </xf>
    <xf numFmtId="176" fontId="3" fillId="3" borderId="0" xfId="11" applyNumberFormat="1" applyFont="1" applyFill="1" applyBorder="1"/>
    <xf numFmtId="0" fontId="3" fillId="3" borderId="0" xfId="14" applyFill="1" applyAlignment="1">
      <alignment horizontal="left" vertical="center"/>
    </xf>
    <xf numFmtId="0" fontId="27" fillId="3" borderId="9" xfId="13" applyFont="1" applyFill="1" applyBorder="1" applyAlignment="1">
      <alignment vertical="center"/>
    </xf>
    <xf numFmtId="176" fontId="27" fillId="3" borderId="9" xfId="11" applyNumberFormat="1" applyFont="1" applyFill="1" applyBorder="1"/>
    <xf numFmtId="0" fontId="27" fillId="3" borderId="0" xfId="14" applyFont="1" applyFill="1" applyAlignment="1">
      <alignment vertical="center"/>
    </xf>
    <xf numFmtId="176" fontId="27" fillId="3" borderId="0" xfId="11" applyNumberFormat="1" applyFont="1" applyFill="1" applyBorder="1"/>
    <xf numFmtId="0" fontId="3" fillId="3" borderId="0" xfId="14" applyFill="1" applyAlignment="1">
      <alignment horizontal="left" vertical="center" indent="1"/>
    </xf>
    <xf numFmtId="0" fontId="27" fillId="3" borderId="0" xfId="13" applyFont="1" applyFill="1" applyAlignment="1">
      <alignment vertical="center"/>
    </xf>
    <xf numFmtId="0" fontId="0" fillId="3" borderId="13" xfId="0" applyFill="1" applyBorder="1"/>
    <xf numFmtId="0" fontId="3" fillId="3" borderId="14" xfId="13" applyFill="1" applyBorder="1"/>
    <xf numFmtId="0" fontId="0" fillId="3" borderId="15" xfId="0" applyFill="1" applyBorder="1"/>
    <xf numFmtId="0" fontId="0" fillId="3" borderId="6" xfId="0" applyFill="1" applyBorder="1"/>
    <xf numFmtId="0" fontId="0" fillId="3" borderId="16" xfId="0" applyFill="1" applyBorder="1"/>
    <xf numFmtId="0" fontId="3" fillId="3" borderId="16" xfId="13" applyFill="1" applyBorder="1"/>
    <xf numFmtId="0" fontId="0" fillId="3" borderId="17" xfId="0" applyFill="1" applyBorder="1"/>
    <xf numFmtId="4" fontId="4" fillId="2" borderId="0" xfId="9" applyNumberFormat="1" applyFont="1" applyFill="1"/>
    <xf numFmtId="3" fontId="4" fillId="2" borderId="0" xfId="9" applyNumberFormat="1" applyFont="1" applyFill="1"/>
    <xf numFmtId="3" fontId="4" fillId="2" borderId="0" xfId="9" applyNumberFormat="1" applyFont="1" applyFill="1" applyAlignment="1">
      <alignment horizontal="center" vertical="center"/>
    </xf>
    <xf numFmtId="3" fontId="0" fillId="0" borderId="0" xfId="0" applyNumberFormat="1"/>
    <xf numFmtId="173" fontId="4" fillId="2" borderId="0" xfId="9" applyNumberFormat="1" applyFont="1" applyFill="1" applyAlignment="1">
      <alignment horizontal="left"/>
    </xf>
    <xf numFmtId="0" fontId="7" fillId="5" borderId="0" xfId="0" applyFont="1" applyFill="1" applyAlignment="1">
      <alignment horizontal="center" vertical="center" wrapText="1"/>
    </xf>
    <xf numFmtId="10" fontId="28" fillId="5" borderId="0" xfId="0" applyNumberFormat="1" applyFont="1" applyFill="1" applyAlignment="1">
      <alignment vertical="center"/>
    </xf>
    <xf numFmtId="10" fontId="28" fillId="5" borderId="0" xfId="3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0" fontId="29" fillId="3" borderId="0" xfId="0" applyNumberFormat="1" applyFont="1" applyFill="1" applyAlignment="1">
      <alignment horizontal="center" vertical="center"/>
    </xf>
    <xf numFmtId="17" fontId="13" fillId="3" borderId="0" xfId="0" applyNumberFormat="1" applyFont="1" applyFill="1" applyAlignment="1">
      <alignment horizontal="center" vertical="center"/>
    </xf>
    <xf numFmtId="3" fontId="13" fillId="3" borderId="0" xfId="2" applyNumberFormat="1" applyFont="1" applyFill="1" applyBorder="1" applyAlignment="1">
      <alignment vertical="center"/>
    </xf>
    <xf numFmtId="10" fontId="0" fillId="0" borderId="0" xfId="0" applyNumberFormat="1"/>
    <xf numFmtId="0" fontId="30" fillId="0" borderId="0" xfId="0" applyFont="1" applyAlignment="1">
      <alignment vertical="center" wrapText="1"/>
    </xf>
    <xf numFmtId="0" fontId="32" fillId="3" borderId="0" xfId="0" applyFont="1" applyFill="1" applyAlignment="1">
      <alignment horizontal="center" vertical="center"/>
    </xf>
    <xf numFmtId="0" fontId="0" fillId="9" borderId="0" xfId="0" applyFill="1"/>
    <xf numFmtId="0" fontId="19" fillId="0" borderId="0" xfId="0" applyFont="1" applyAlignment="1">
      <alignment wrapText="1"/>
    </xf>
    <xf numFmtId="10" fontId="19" fillId="0" borderId="0" xfId="3" applyNumberFormat="1" applyFont="1"/>
    <xf numFmtId="3" fontId="19" fillId="0" borderId="0" xfId="0" applyNumberFormat="1" applyFont="1"/>
    <xf numFmtId="0" fontId="36" fillId="0" borderId="0" xfId="0" applyFont="1"/>
    <xf numFmtId="172" fontId="13" fillId="2" borderId="0" xfId="0" applyNumberFormat="1" applyFont="1" applyFill="1" applyAlignment="1">
      <alignment horizontal="left" wrapText="1"/>
    </xf>
    <xf numFmtId="10" fontId="4" fillId="0" borderId="0" xfId="3" applyNumberFormat="1" applyFont="1" applyAlignment="1">
      <alignment vertical="center"/>
    </xf>
    <xf numFmtId="0" fontId="37" fillId="0" borderId="0" xfId="0" applyFont="1" applyAlignment="1">
      <alignment vertical="center" wrapText="1"/>
    </xf>
    <xf numFmtId="0" fontId="21" fillId="0" borderId="0" xfId="0" applyFont="1" applyAlignment="1">
      <alignment horizontal="left"/>
    </xf>
    <xf numFmtId="43" fontId="19" fillId="0" borderId="0" xfId="1" applyFont="1"/>
    <xf numFmtId="3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top"/>
    </xf>
    <xf numFmtId="0" fontId="41" fillId="0" borderId="0" xfId="0" applyFont="1"/>
    <xf numFmtId="0" fontId="2" fillId="3" borderId="0" xfId="0" applyFont="1" applyFill="1" applyAlignment="1">
      <alignment vertical="center"/>
    </xf>
    <xf numFmtId="0" fontId="34" fillId="3" borderId="0" xfId="0" applyFont="1" applyFill="1" applyAlignment="1">
      <alignment horizontal="center" vertical="center" wrapText="1"/>
    </xf>
    <xf numFmtId="43" fontId="34" fillId="3" borderId="0" xfId="1" applyFont="1" applyFill="1" applyBorder="1" applyAlignment="1" applyProtection="1">
      <alignment horizontal="right"/>
      <protection locked="0"/>
    </xf>
    <xf numFmtId="0" fontId="2" fillId="3" borderId="0" xfId="0" applyFont="1" applyFill="1" applyAlignment="1">
      <alignment horizontal="center" vertical="center"/>
    </xf>
    <xf numFmtId="49" fontId="35" fillId="3" borderId="0" xfId="2" applyNumberFormat="1" applyFont="1" applyFill="1" applyBorder="1" applyAlignment="1">
      <alignment horizontal="left"/>
    </xf>
    <xf numFmtId="0" fontId="6" fillId="3" borderId="0" xfId="0" applyFont="1" applyFill="1" applyAlignment="1">
      <alignment vertical="top"/>
    </xf>
    <xf numFmtId="0" fontId="42" fillId="0" borderId="0" xfId="0" applyFont="1" applyAlignment="1">
      <alignment horizontal="center" vertical="center" readingOrder="1"/>
    </xf>
    <xf numFmtId="43" fontId="0" fillId="3" borderId="0" xfId="0" applyNumberFormat="1" applyFill="1"/>
    <xf numFmtId="3" fontId="22" fillId="3" borderId="0" xfId="4" applyNumberFormat="1" applyFont="1" applyFill="1" applyAlignment="1">
      <alignment horizontal="center" vertical="center" wrapText="1"/>
    </xf>
    <xf numFmtId="0" fontId="0" fillId="9" borderId="0" xfId="0" applyFill="1" applyAlignment="1">
      <alignment horizontal="center"/>
    </xf>
    <xf numFmtId="3" fontId="0" fillId="3" borderId="0" xfId="0" applyNumberFormat="1" applyFill="1"/>
    <xf numFmtId="0" fontId="4" fillId="3" borderId="0" xfId="0" applyFont="1" applyFill="1"/>
    <xf numFmtId="0" fontId="4" fillId="3" borderId="0" xfId="9" applyFont="1" applyFill="1"/>
    <xf numFmtId="10" fontId="33" fillId="3" borderId="0" xfId="3" applyNumberFormat="1" applyFont="1" applyFill="1" applyBorder="1" applyAlignment="1">
      <alignment horizontal="right" vertical="center"/>
    </xf>
    <xf numFmtId="165" fontId="14" fillId="3" borderId="0" xfId="0" applyNumberFormat="1" applyFont="1" applyFill="1" applyAlignment="1">
      <alignment vertical="center"/>
    </xf>
    <xf numFmtId="0" fontId="42" fillId="0" borderId="0" xfId="0" applyFont="1" applyAlignment="1">
      <alignment horizontal="left" vertical="center" readingOrder="1"/>
    </xf>
    <xf numFmtId="0" fontId="5" fillId="9" borderId="0" xfId="0" applyFont="1" applyFill="1" applyAlignment="1">
      <alignment vertical="top"/>
    </xf>
    <xf numFmtId="0" fontId="6" fillId="9" borderId="0" xfId="0" applyFont="1" applyFill="1" applyAlignment="1">
      <alignment vertical="top"/>
    </xf>
    <xf numFmtId="0" fontId="9" fillId="0" borderId="0" xfId="0" applyFont="1"/>
    <xf numFmtId="166" fontId="4" fillId="3" borderId="0" xfId="1" applyNumberFormat="1" applyFont="1" applyFill="1" applyBorder="1" applyAlignment="1">
      <alignment horizontal="center" vertical="center"/>
    </xf>
    <xf numFmtId="2" fontId="16" fillId="3" borderId="0" xfId="9" applyNumberFormat="1" applyFont="1" applyFill="1"/>
    <xf numFmtId="3" fontId="13" fillId="3" borderId="0" xfId="2" applyNumberFormat="1" applyFont="1" applyFill="1" applyBorder="1" applyAlignment="1">
      <alignment horizontal="right" vertical="center"/>
    </xf>
    <xf numFmtId="0" fontId="4" fillId="3" borderId="0" xfId="9" applyFont="1" applyFill="1" applyAlignment="1">
      <alignment horizontal="center" vertical="center"/>
    </xf>
    <xf numFmtId="4" fontId="4" fillId="3" borderId="0" xfId="9" applyNumberFormat="1" applyFont="1" applyFill="1"/>
    <xf numFmtId="43" fontId="4" fillId="3" borderId="0" xfId="3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 readingOrder="1"/>
    </xf>
    <xf numFmtId="0" fontId="4" fillId="9" borderId="0" xfId="9" applyFont="1" applyFill="1"/>
    <xf numFmtId="0" fontId="4" fillId="9" borderId="0" xfId="0" applyFont="1" applyFill="1"/>
    <xf numFmtId="0" fontId="6" fillId="9" borderId="0" xfId="0" applyFont="1" applyFill="1" applyAlignment="1">
      <alignment vertical="center"/>
    </xf>
    <xf numFmtId="0" fontId="19" fillId="9" borderId="0" xfId="0" applyFont="1" applyFill="1"/>
    <xf numFmtId="0" fontId="38" fillId="9" borderId="0" xfId="0" applyFont="1" applyFill="1" applyAlignment="1">
      <alignment vertical="center"/>
    </xf>
    <xf numFmtId="0" fontId="45" fillId="0" borderId="0" xfId="0" applyFont="1" applyAlignment="1">
      <alignment horizontal="center" vertical="center" wrapText="1"/>
    </xf>
    <xf numFmtId="164" fontId="45" fillId="0" borderId="0" xfId="0" applyNumberFormat="1" applyFont="1" applyAlignment="1">
      <alignment horizontal="center" vertical="center"/>
    </xf>
    <xf numFmtId="178" fontId="45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164" fontId="43" fillId="0" borderId="0" xfId="0" applyNumberFormat="1" applyFont="1" applyAlignment="1">
      <alignment horizontal="left" vertical="center"/>
    </xf>
    <xf numFmtId="178" fontId="43" fillId="0" borderId="0" xfId="0" applyNumberFormat="1" applyFont="1" applyAlignment="1">
      <alignment horizontal="left" vertical="center"/>
    </xf>
    <xf numFmtId="17" fontId="47" fillId="3" borderId="0" xfId="18" applyNumberFormat="1" applyFont="1" applyFill="1" applyAlignment="1">
      <alignment horizontal="left" vertical="top"/>
    </xf>
    <xf numFmtId="0" fontId="5" fillId="0" borderId="0" xfId="0" applyFont="1"/>
    <xf numFmtId="0" fontId="48" fillId="0" borderId="0" xfId="0" applyFont="1"/>
    <xf numFmtId="0" fontId="49" fillId="0" borderId="0" xfId="0" applyFont="1" applyAlignment="1">
      <alignment vertical="center" wrapText="1"/>
    </xf>
    <xf numFmtId="0" fontId="48" fillId="0" borderId="0" xfId="0" applyFont="1" applyAlignment="1">
      <alignment vertical="center"/>
    </xf>
    <xf numFmtId="0" fontId="34" fillId="0" borderId="0" xfId="0" applyFont="1"/>
    <xf numFmtId="0" fontId="42" fillId="3" borderId="0" xfId="0" applyFont="1" applyFill="1" applyAlignment="1">
      <alignment horizontal="left" vertical="center" readingOrder="1"/>
    </xf>
    <xf numFmtId="171" fontId="0" fillId="0" borderId="0" xfId="0" applyNumberFormat="1"/>
    <xf numFmtId="179" fontId="0" fillId="0" borderId="0" xfId="0" applyNumberFormat="1"/>
    <xf numFmtId="171" fontId="4" fillId="2" borderId="0" xfId="3" applyNumberFormat="1" applyFont="1" applyFill="1" applyAlignment="1">
      <alignment horizontal="center" vertical="center"/>
    </xf>
    <xf numFmtId="10" fontId="3" fillId="3" borderId="0" xfId="3" applyNumberFormat="1" applyFont="1" applyFill="1" applyAlignment="1">
      <alignment vertical="center"/>
    </xf>
    <xf numFmtId="176" fontId="3" fillId="3" borderId="0" xfId="13" applyNumberFormat="1" applyFill="1" applyAlignment="1">
      <alignment vertical="center"/>
    </xf>
    <xf numFmtId="0" fontId="33" fillId="3" borderId="0" xfId="0" applyFont="1" applyFill="1" applyAlignment="1">
      <alignment horizontal="center" vertical="center" wrapText="1"/>
    </xf>
    <xf numFmtId="4" fontId="33" fillId="3" borderId="0" xfId="0" applyNumberFormat="1" applyFont="1" applyFill="1" applyAlignment="1">
      <alignment horizontal="right" vertical="center"/>
    </xf>
    <xf numFmtId="17" fontId="2" fillId="3" borderId="0" xfId="0" applyNumberFormat="1" applyFont="1" applyFill="1" applyAlignment="1">
      <alignment horizontal="center"/>
    </xf>
    <xf numFmtId="165" fontId="2" fillId="3" borderId="0" xfId="2" applyNumberFormat="1" applyFont="1" applyFill="1" applyBorder="1" applyAlignment="1">
      <alignment horizontal="right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top"/>
    </xf>
    <xf numFmtId="43" fontId="7" fillId="3" borderId="0" xfId="1" applyFont="1" applyFill="1" applyAlignment="1">
      <alignment horizontal="center" vertical="center"/>
    </xf>
    <xf numFmtId="9" fontId="5" fillId="3" borderId="0" xfId="0" applyNumberFormat="1" applyFont="1" applyFill="1" applyAlignment="1">
      <alignment vertical="top"/>
    </xf>
    <xf numFmtId="9" fontId="5" fillId="3" borderId="0" xfId="0" applyNumberFormat="1" applyFont="1" applyFill="1" applyAlignment="1">
      <alignment horizontal="center" vertical="top"/>
    </xf>
    <xf numFmtId="43" fontId="5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43" fontId="13" fillId="3" borderId="0" xfId="1" applyFont="1" applyFill="1" applyAlignment="1">
      <alignment vertical="top"/>
    </xf>
    <xf numFmtId="166" fontId="4" fillId="2" borderId="0" xfId="1" applyNumberFormat="1" applyFont="1" applyFill="1" applyAlignment="1">
      <alignment vertical="center"/>
    </xf>
    <xf numFmtId="9" fontId="42" fillId="0" borderId="0" xfId="3" applyFont="1" applyAlignment="1">
      <alignment vertical="center" readingOrder="1"/>
    </xf>
    <xf numFmtId="43" fontId="42" fillId="0" borderId="0" xfId="1" applyFont="1" applyAlignment="1">
      <alignment vertical="center" readingOrder="1"/>
    </xf>
    <xf numFmtId="10" fontId="4" fillId="2" borderId="0" xfId="3" applyNumberFormat="1" applyFont="1" applyFill="1" applyAlignment="1">
      <alignment vertical="center"/>
    </xf>
    <xf numFmtId="43" fontId="4" fillId="2" borderId="0" xfId="1" applyFont="1" applyFill="1"/>
    <xf numFmtId="166" fontId="19" fillId="0" borderId="0" xfId="1" applyNumberFormat="1" applyFont="1"/>
    <xf numFmtId="10" fontId="4" fillId="3" borderId="0" xfId="9" applyNumberFormat="1" applyFont="1" applyFill="1"/>
    <xf numFmtId="10" fontId="4" fillId="2" borderId="0" xfId="9" applyNumberFormat="1" applyFont="1" applyFill="1"/>
    <xf numFmtId="166" fontId="19" fillId="0" borderId="0" xfId="0" applyNumberFormat="1" applyFont="1"/>
    <xf numFmtId="10" fontId="4" fillId="0" borderId="0" xfId="0" applyNumberFormat="1" applyFont="1" applyAlignment="1">
      <alignment vertical="center"/>
    </xf>
    <xf numFmtId="10" fontId="48" fillId="0" borderId="0" xfId="0" applyNumberFormat="1" applyFont="1" applyAlignment="1">
      <alignment vertical="center"/>
    </xf>
    <xf numFmtId="43" fontId="1" fillId="0" borderId="0" xfId="1" applyFont="1"/>
    <xf numFmtId="3" fontId="1" fillId="0" borderId="0" xfId="2" applyNumberFormat="1" applyFont="1" applyFill="1" applyBorder="1" applyAlignment="1" applyProtection="1">
      <alignment horizontal="right"/>
      <protection locked="0"/>
    </xf>
    <xf numFmtId="43" fontId="53" fillId="0" borderId="0" xfId="1" applyFont="1" applyAlignment="1">
      <alignment vertical="center" wrapText="1"/>
    </xf>
    <xf numFmtId="43" fontId="1" fillId="0" borderId="0" xfId="1" applyFont="1" applyAlignment="1">
      <alignment horizontal="left"/>
    </xf>
    <xf numFmtId="3" fontId="0" fillId="0" borderId="0" xfId="0" applyNumberFormat="1" applyAlignment="1">
      <alignment horizontal="left"/>
    </xf>
    <xf numFmtId="20" fontId="0" fillId="0" borderId="0" xfId="0" applyNumberFormat="1"/>
    <xf numFmtId="43" fontId="48" fillId="0" borderId="0" xfId="1" applyFont="1" applyAlignment="1">
      <alignment vertical="center"/>
    </xf>
    <xf numFmtId="4" fontId="48" fillId="0" borderId="0" xfId="0" applyNumberFormat="1" applyFont="1"/>
    <xf numFmtId="9" fontId="0" fillId="0" borderId="0" xfId="3" applyFont="1"/>
    <xf numFmtId="4" fontId="0" fillId="3" borderId="0" xfId="0" applyNumberFormat="1" applyFill="1"/>
    <xf numFmtId="0" fontId="0" fillId="3" borderId="0" xfId="0" applyFill="1" applyAlignment="1">
      <alignment horizontal="center" vertical="center"/>
    </xf>
    <xf numFmtId="0" fontId="5" fillId="2" borderId="0" xfId="0" applyFont="1" applyFill="1"/>
    <xf numFmtId="0" fontId="5" fillId="2" borderId="0" xfId="9" applyFont="1" applyFill="1"/>
    <xf numFmtId="8" fontId="5" fillId="2" borderId="0" xfId="9" applyNumberFormat="1" applyFont="1" applyFill="1"/>
    <xf numFmtId="0" fontId="5" fillId="2" borderId="0" xfId="9" applyFont="1" applyFill="1" applyAlignment="1">
      <alignment horizontal="center" vertical="center"/>
    </xf>
    <xf numFmtId="0" fontId="13" fillId="3" borderId="0" xfId="0" applyFont="1" applyFill="1"/>
    <xf numFmtId="0" fontId="13" fillId="0" borderId="0" xfId="0" applyFont="1"/>
    <xf numFmtId="0" fontId="16" fillId="0" borderId="0" xfId="0" applyFont="1"/>
    <xf numFmtId="0" fontId="16" fillId="2" borderId="0" xfId="9" applyFont="1" applyFill="1"/>
    <xf numFmtId="0" fontId="56" fillId="0" borderId="0" xfId="0" applyFont="1"/>
    <xf numFmtId="0" fontId="5" fillId="3" borderId="0" xfId="0" applyFont="1" applyFill="1" applyAlignment="1">
      <alignment horizontal="left" vertical="center"/>
    </xf>
    <xf numFmtId="0" fontId="57" fillId="0" borderId="0" xfId="0" applyFont="1"/>
    <xf numFmtId="0" fontId="14" fillId="3" borderId="0" xfId="0" applyFont="1" applyFill="1" applyAlignment="1">
      <alignment horizontal="left" vertical="center" wrapText="1"/>
    </xf>
    <xf numFmtId="3" fontId="14" fillId="3" borderId="0" xfId="0" applyNumberFormat="1" applyFont="1" applyFill="1" applyAlignment="1">
      <alignment horizontal="right" vertical="center"/>
    </xf>
    <xf numFmtId="0" fontId="4" fillId="0" borderId="0" xfId="9" applyFont="1"/>
    <xf numFmtId="0" fontId="4" fillId="0" borderId="0" xfId="9" applyFont="1" applyAlignment="1">
      <alignment horizontal="center" vertical="center"/>
    </xf>
    <xf numFmtId="0" fontId="2" fillId="9" borderId="1" xfId="4" applyFont="1" applyFill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center" vertical="center"/>
    </xf>
    <xf numFmtId="4" fontId="13" fillId="3" borderId="1" xfId="2" applyNumberFormat="1" applyFont="1" applyFill="1" applyBorder="1" applyAlignment="1">
      <alignment horizontal="right" vertical="center"/>
    </xf>
    <xf numFmtId="17" fontId="13" fillId="0" borderId="1" xfId="0" applyNumberFormat="1" applyFont="1" applyBorder="1" applyAlignment="1">
      <alignment horizontal="left"/>
    </xf>
    <xf numFmtId="17" fontId="13" fillId="0" borderId="1" xfId="0" applyNumberFormat="1" applyFont="1" applyBorder="1" applyAlignment="1">
      <alignment horizontal="center"/>
    </xf>
    <xf numFmtId="3" fontId="13" fillId="3" borderId="1" xfId="2" applyNumberFormat="1" applyFont="1" applyFill="1" applyBorder="1" applyAlignment="1">
      <alignment horizontal="right"/>
    </xf>
    <xf numFmtId="17" fontId="2" fillId="9" borderId="1" xfId="0" applyNumberFormat="1" applyFont="1" applyFill="1" applyBorder="1" applyAlignment="1">
      <alignment horizontal="center" vertical="center"/>
    </xf>
    <xf numFmtId="165" fontId="2" fillId="9" borderId="1" xfId="2" applyNumberFormat="1" applyFont="1" applyFill="1" applyBorder="1" applyAlignment="1">
      <alignment horizontal="right" vertical="center"/>
    </xf>
    <xf numFmtId="0" fontId="15" fillId="9" borderId="1" xfId="0" applyFont="1" applyFill="1" applyBorder="1" applyAlignment="1">
      <alignment horizontal="center" vertical="center"/>
    </xf>
    <xf numFmtId="166" fontId="13" fillId="3" borderId="1" xfId="1" applyNumberFormat="1" applyFont="1" applyFill="1" applyBorder="1" applyAlignment="1">
      <alignment horizontal="right"/>
    </xf>
    <xf numFmtId="9" fontId="13" fillId="3" borderId="1" xfId="0" applyNumberFormat="1" applyFont="1" applyFill="1" applyBorder="1" applyAlignment="1">
      <alignment horizontal="right"/>
    </xf>
    <xf numFmtId="2" fontId="13" fillId="3" borderId="1" xfId="0" applyNumberFormat="1" applyFont="1" applyFill="1" applyBorder="1" applyAlignment="1">
      <alignment horizontal="right"/>
    </xf>
    <xf numFmtId="43" fontId="14" fillId="3" borderId="1" xfId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43" fontId="2" fillId="9" borderId="1" xfId="0" applyNumberFormat="1" applyFont="1" applyFill="1" applyBorder="1" applyAlignment="1">
      <alignment horizontal="center"/>
    </xf>
    <xf numFmtId="166" fontId="13" fillId="3" borderId="1" xfId="1" applyNumberFormat="1" applyFont="1" applyFill="1" applyBorder="1" applyAlignment="1" applyProtection="1">
      <alignment horizontal="center"/>
      <protection locked="0"/>
    </xf>
    <xf numFmtId="17" fontId="13" fillId="3" borderId="1" xfId="0" applyNumberFormat="1" applyFont="1" applyFill="1" applyBorder="1" applyAlignment="1">
      <alignment horizontal="center"/>
    </xf>
    <xf numFmtId="166" fontId="13" fillId="10" borderId="1" xfId="1" applyNumberFormat="1" applyFont="1" applyFill="1" applyBorder="1" applyAlignment="1">
      <alignment horizontal="center"/>
    </xf>
    <xf numFmtId="166" fontId="13" fillId="10" borderId="1" xfId="1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left" vertical="center" wrapText="1"/>
    </xf>
    <xf numFmtId="17" fontId="13" fillId="7" borderId="1" xfId="0" applyNumberFormat="1" applyFont="1" applyFill="1" applyBorder="1" applyAlignment="1">
      <alignment horizontal="left" vertical="center" wrapText="1"/>
    </xf>
    <xf numFmtId="3" fontId="13" fillId="0" borderId="1" xfId="8" applyNumberFormat="1" applyFont="1" applyFill="1" applyBorder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 wrapText="1"/>
    </xf>
    <xf numFmtId="10" fontId="13" fillId="3" borderId="1" xfId="2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3" fontId="61" fillId="5" borderId="1" xfId="0" applyNumberFormat="1" applyFont="1" applyFill="1" applyBorder="1" applyAlignment="1">
      <alignment horizontal="center" vertical="center" wrapText="1"/>
    </xf>
    <xf numFmtId="10" fontId="61" fillId="5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0" fontId="13" fillId="3" borderId="1" xfId="3" applyNumberFormat="1" applyFont="1" applyFill="1" applyBorder="1" applyAlignment="1">
      <alignment horizontal="center" vertical="center" wrapText="1"/>
    </xf>
    <xf numFmtId="10" fontId="2" fillId="9" borderId="1" xfId="0" applyNumberFormat="1" applyFont="1" applyFill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0" fontId="14" fillId="3" borderId="1" xfId="3" applyNumberFormat="1" applyFont="1" applyFill="1" applyBorder="1" applyAlignment="1">
      <alignment horizontal="center" vertical="center"/>
    </xf>
    <xf numFmtId="17" fontId="14" fillId="3" borderId="1" xfId="0" applyNumberFormat="1" applyFont="1" applyFill="1" applyBorder="1" applyAlignment="1">
      <alignment horizontal="center" vertical="center" wrapText="1"/>
    </xf>
    <xf numFmtId="169" fontId="14" fillId="3" borderId="1" xfId="0" applyNumberFormat="1" applyFont="1" applyFill="1" applyBorder="1" applyAlignment="1">
      <alignment horizontal="center" vertical="center" wrapText="1"/>
    </xf>
    <xf numFmtId="10" fontId="2" fillId="9" borderId="1" xfId="3" applyNumberFormat="1" applyFont="1" applyFill="1" applyBorder="1" applyAlignment="1">
      <alignment vertical="center"/>
    </xf>
    <xf numFmtId="0" fontId="17" fillId="9" borderId="1" xfId="0" applyFont="1" applyFill="1" applyBorder="1" applyAlignment="1">
      <alignment horizontal="center" vertical="center" wrapText="1"/>
    </xf>
    <xf numFmtId="10" fontId="2" fillId="9" borderId="1" xfId="3" applyNumberFormat="1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17" fontId="17" fillId="11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3" fontId="13" fillId="10" borderId="1" xfId="0" applyNumberFormat="1" applyFont="1" applyFill="1" applyBorder="1"/>
    <xf numFmtId="3" fontId="2" fillId="11" borderId="1" xfId="0" applyNumberFormat="1" applyFont="1" applyFill="1" applyBorder="1" applyAlignment="1">
      <alignment vertical="center"/>
    </xf>
    <xf numFmtId="3" fontId="13" fillId="3" borderId="1" xfId="2" applyNumberFormat="1" applyFont="1" applyFill="1" applyBorder="1" applyAlignment="1" applyProtection="1">
      <alignment horizontal="right"/>
      <protection locked="0"/>
    </xf>
    <xf numFmtId="3" fontId="13" fillId="3" borderId="1" xfId="0" applyNumberFormat="1" applyFont="1" applyFill="1" applyBorder="1"/>
    <xf numFmtId="3" fontId="2" fillId="9" borderId="1" xfId="0" applyNumberFormat="1" applyFont="1" applyFill="1" applyBorder="1" applyAlignment="1">
      <alignment vertical="center"/>
    </xf>
    <xf numFmtId="3" fontId="14" fillId="8" borderId="1" xfId="0" applyNumberFormat="1" applyFont="1" applyFill="1" applyBorder="1" applyAlignment="1">
      <alignment vertical="center"/>
    </xf>
    <xf numFmtId="0" fontId="14" fillId="8" borderId="1" xfId="0" applyFont="1" applyFill="1" applyBorder="1" applyAlignment="1">
      <alignment horizontal="left" vertical="center"/>
    </xf>
    <xf numFmtId="3" fontId="13" fillId="10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4" fontId="14" fillId="3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right" vertical="center"/>
    </xf>
    <xf numFmtId="43" fontId="2" fillId="9" borderId="1" xfId="1" applyFont="1" applyFill="1" applyBorder="1" applyAlignment="1">
      <alignment horizontal="center" vertical="center" wrapText="1"/>
    </xf>
    <xf numFmtId="17" fontId="13" fillId="3" borderId="1" xfId="0" applyNumberFormat="1" applyFont="1" applyFill="1" applyBorder="1" applyAlignment="1">
      <alignment vertical="center"/>
    </xf>
    <xf numFmtId="17" fontId="13" fillId="3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right" vertical="center"/>
    </xf>
    <xf numFmtId="17" fontId="51" fillId="9" borderId="1" xfId="0" applyNumberFormat="1" applyFont="1" applyFill="1" applyBorder="1" applyAlignment="1">
      <alignment horizontal="center" vertical="center"/>
    </xf>
    <xf numFmtId="169" fontId="2" fillId="9" borderId="1" xfId="0" applyNumberFormat="1" applyFont="1" applyFill="1" applyBorder="1" applyAlignment="1">
      <alignment horizontal="right" vertical="center" wrapText="1"/>
    </xf>
    <xf numFmtId="3" fontId="22" fillId="9" borderId="1" xfId="4" applyNumberFormat="1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vertical="center"/>
    </xf>
    <xf numFmtId="43" fontId="17" fillId="9" borderId="1" xfId="1" applyFont="1" applyFill="1" applyBorder="1" applyAlignment="1">
      <alignment horizontal="center" vertical="center"/>
    </xf>
    <xf numFmtId="4" fontId="17" fillId="9" borderId="1" xfId="0" applyNumberFormat="1" applyFont="1" applyFill="1" applyBorder="1" applyAlignment="1">
      <alignment horizontal="center"/>
    </xf>
    <xf numFmtId="4" fontId="14" fillId="3" borderId="1" xfId="0" applyNumberFormat="1" applyFont="1" applyFill="1" applyBorder="1"/>
    <xf numFmtId="4" fontId="14" fillId="3" borderId="1" xfId="0" applyNumberFormat="1" applyFont="1" applyFill="1" applyBorder="1" applyAlignment="1">
      <alignment horizontal="center"/>
    </xf>
    <xf numFmtId="43" fontId="14" fillId="3" borderId="1" xfId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right"/>
    </xf>
    <xf numFmtId="3" fontId="13" fillId="0" borderId="1" xfId="2" applyNumberFormat="1" applyFont="1" applyFill="1" applyBorder="1" applyAlignment="1" applyProtection="1">
      <alignment horizontal="right"/>
      <protection locked="0"/>
    </xf>
    <xf numFmtId="3" fontId="14" fillId="3" borderId="1" xfId="0" applyNumberFormat="1" applyFont="1" applyFill="1" applyBorder="1"/>
    <xf numFmtId="3" fontId="14" fillId="3" borderId="1" xfId="0" applyNumberFormat="1" applyFont="1" applyFill="1" applyBorder="1" applyAlignment="1">
      <alignment horizontal="center"/>
    </xf>
    <xf numFmtId="3" fontId="14" fillId="3" borderId="1" xfId="0" applyNumberFormat="1" applyFont="1" applyFill="1" applyBorder="1" applyAlignment="1">
      <alignment horizontal="right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/>
    <xf numFmtId="181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left"/>
    </xf>
    <xf numFmtId="4" fontId="13" fillId="3" borderId="1" xfId="0" applyNumberFormat="1" applyFont="1" applyFill="1" applyBorder="1" applyAlignment="1">
      <alignment horizontal="center"/>
    </xf>
    <xf numFmtId="175" fontId="13" fillId="3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left"/>
    </xf>
    <xf numFmtId="4" fontId="13" fillId="0" borderId="1" xfId="0" applyNumberFormat="1" applyFont="1" applyBorder="1" applyAlignment="1">
      <alignment horizontal="center"/>
    </xf>
    <xf numFmtId="3" fontId="13" fillId="10" borderId="1" xfId="0" applyNumberFormat="1" applyFont="1" applyFill="1" applyBorder="1" applyAlignment="1">
      <alignment horizontal="center"/>
    </xf>
    <xf numFmtId="175" fontId="13" fillId="10" borderId="1" xfId="0" applyNumberFormat="1" applyFont="1" applyFill="1" applyBorder="1" applyAlignment="1">
      <alignment horizontal="right"/>
    </xf>
    <xf numFmtId="0" fontId="2" fillId="9" borderId="1" xfId="0" applyFont="1" applyFill="1" applyBorder="1"/>
    <xf numFmtId="175" fontId="2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166" fontId="13" fillId="0" borderId="1" xfId="1" applyNumberFormat="1" applyFont="1" applyBorder="1"/>
    <xf numFmtId="10" fontId="13" fillId="0" borderId="1" xfId="3" applyNumberFormat="1" applyFont="1" applyBorder="1"/>
    <xf numFmtId="174" fontId="13" fillId="0" borderId="1" xfId="1" applyNumberFormat="1" applyFont="1" applyBorder="1"/>
    <xf numFmtId="166" fontId="2" fillId="9" borderId="1" xfId="1" applyNumberFormat="1" applyFont="1" applyFill="1" applyBorder="1"/>
    <xf numFmtId="174" fontId="2" fillId="9" borderId="1" xfId="1" applyNumberFormat="1" applyFont="1" applyFill="1" applyBorder="1"/>
    <xf numFmtId="3" fontId="13" fillId="10" borderId="1" xfId="2" applyNumberFormat="1" applyFont="1" applyFill="1" applyBorder="1" applyAlignment="1">
      <alignment horizontal="right" vertical="center"/>
    </xf>
    <xf numFmtId="3" fontId="13" fillId="10" borderId="1" xfId="2" applyNumberFormat="1" applyFont="1" applyFill="1" applyBorder="1" applyAlignment="1">
      <alignment vertical="center"/>
    </xf>
    <xf numFmtId="165" fontId="13" fillId="10" borderId="1" xfId="2" applyNumberFormat="1" applyFont="1" applyFill="1" applyBorder="1" applyAlignment="1">
      <alignment horizontal="center" vertical="center"/>
    </xf>
    <xf numFmtId="165" fontId="2" fillId="9" borderId="1" xfId="0" applyNumberFormat="1" applyFont="1" applyFill="1" applyBorder="1" applyAlignment="1">
      <alignment horizontal="center" vertical="center"/>
    </xf>
    <xf numFmtId="0" fontId="44" fillId="9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78" fontId="55" fillId="1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/>
    </xf>
    <xf numFmtId="165" fontId="4" fillId="2" borderId="0" xfId="9" applyNumberFormat="1" applyFont="1" applyFill="1"/>
    <xf numFmtId="171" fontId="4" fillId="2" borderId="0" xfId="1" applyNumberFormat="1" applyFont="1" applyFill="1"/>
    <xf numFmtId="10" fontId="15" fillId="9" borderId="19" xfId="3" applyNumberFormat="1" applyFont="1" applyFill="1" applyBorder="1" applyAlignment="1">
      <alignment vertical="center"/>
    </xf>
    <xf numFmtId="182" fontId="48" fillId="0" borderId="0" xfId="1" applyNumberFormat="1" applyFont="1" applyAlignment="1">
      <alignment vertical="center"/>
    </xf>
    <xf numFmtId="183" fontId="48" fillId="0" borderId="0" xfId="0" applyNumberFormat="1" applyFont="1"/>
    <xf numFmtId="169" fontId="5" fillId="0" borderId="0" xfId="0" applyNumberFormat="1" applyFont="1"/>
    <xf numFmtId="10" fontId="7" fillId="3" borderId="0" xfId="3" applyNumberFormat="1" applyFont="1" applyFill="1" applyAlignment="1">
      <alignment horizontal="center" vertical="center" wrapText="1"/>
    </xf>
    <xf numFmtId="10" fontId="5" fillId="0" borderId="0" xfId="3" applyNumberFormat="1" applyFont="1"/>
    <xf numFmtId="10" fontId="42" fillId="0" borderId="0" xfId="3" applyNumberFormat="1" applyFont="1" applyAlignment="1">
      <alignment vertical="center" readingOrder="1"/>
    </xf>
    <xf numFmtId="164" fontId="55" fillId="10" borderId="1" xfId="0" applyNumberFormat="1" applyFont="1" applyFill="1" applyBorder="1" applyAlignment="1">
      <alignment horizontal="center" vertical="center" wrapText="1"/>
    </xf>
    <xf numFmtId="10" fontId="63" fillId="3" borderId="0" xfId="3" applyNumberFormat="1" applyFont="1" applyFill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2" borderId="0" xfId="1" applyNumberFormat="1" applyFont="1" applyFill="1" applyAlignment="1">
      <alignment vertical="center"/>
    </xf>
    <xf numFmtId="10" fontId="4" fillId="0" borderId="0" xfId="3" applyNumberFormat="1" applyFont="1"/>
    <xf numFmtId="43" fontId="4" fillId="2" borderId="0" xfId="9" applyNumberFormat="1" applyFont="1" applyFill="1" applyAlignment="1">
      <alignment horizontal="center" vertical="center"/>
    </xf>
    <xf numFmtId="171" fontId="13" fillId="3" borderId="0" xfId="1" applyNumberFormat="1" applyFont="1" applyFill="1" applyBorder="1" applyAlignment="1">
      <alignment horizontal="right"/>
    </xf>
    <xf numFmtId="17" fontId="51" fillId="9" borderId="18" xfId="0" applyNumberFormat="1" applyFont="1" applyFill="1" applyBorder="1" applyAlignment="1">
      <alignment horizontal="center" vertical="center"/>
    </xf>
    <xf numFmtId="4" fontId="0" fillId="0" borderId="0" xfId="0" applyNumberFormat="1"/>
    <xf numFmtId="3" fontId="0" fillId="0" borderId="1" xfId="0" applyNumberFormat="1" applyBorder="1"/>
    <xf numFmtId="3" fontId="42" fillId="0" borderId="0" xfId="0" applyNumberFormat="1" applyFont="1" applyAlignment="1">
      <alignment vertical="center" readingOrder="1"/>
    </xf>
    <xf numFmtId="181" fontId="14" fillId="10" borderId="1" xfId="0" applyNumberFormat="1" applyFont="1" applyFill="1" applyBorder="1" applyAlignment="1">
      <alignment horizontal="right"/>
    </xf>
    <xf numFmtId="10" fontId="0" fillId="3" borderId="0" xfId="0" applyNumberFormat="1" applyFill="1"/>
    <xf numFmtId="186" fontId="0" fillId="3" borderId="0" xfId="0" applyNumberFormat="1" applyFill="1"/>
    <xf numFmtId="0" fontId="0" fillId="3" borderId="0" xfId="0" applyFill="1" applyAlignment="1">
      <alignment horizontal="right"/>
    </xf>
    <xf numFmtId="10" fontId="3" fillId="3" borderId="0" xfId="13" applyNumberFormat="1" applyFill="1"/>
    <xf numFmtId="10" fontId="3" fillId="3" borderId="0" xfId="3" applyNumberFormat="1" applyFont="1" applyFill="1"/>
    <xf numFmtId="10" fontId="66" fillId="6" borderId="24" xfId="3" applyNumberFormat="1" applyFont="1" applyFill="1" applyBorder="1" applyAlignment="1">
      <alignment vertical="center"/>
    </xf>
    <xf numFmtId="0" fontId="66" fillId="6" borderId="24" xfId="14" applyFont="1" applyFill="1" applyBorder="1" applyAlignment="1">
      <alignment vertical="center"/>
    </xf>
    <xf numFmtId="10" fontId="3" fillId="3" borderId="0" xfId="13" applyNumberFormat="1" applyFill="1" applyAlignment="1">
      <alignment vertical="center"/>
    </xf>
    <xf numFmtId="9" fontId="0" fillId="3" borderId="0" xfId="0" applyNumberFormat="1" applyFill="1" applyAlignment="1">
      <alignment horizontal="center" vertical="center"/>
    </xf>
    <xf numFmtId="10" fontId="0" fillId="3" borderId="0" xfId="3" applyNumberFormat="1" applyFont="1" applyFill="1"/>
    <xf numFmtId="43" fontId="0" fillId="3" borderId="0" xfId="1" applyFont="1" applyFill="1"/>
    <xf numFmtId="0" fontId="0" fillId="3" borderId="0" xfId="0" applyFill="1" applyAlignment="1">
      <alignment horizontal="left" vertical="center"/>
    </xf>
    <xf numFmtId="3" fontId="3" fillId="3" borderId="0" xfId="13" applyNumberFormat="1" applyFill="1" applyAlignment="1">
      <alignment vertical="center"/>
    </xf>
    <xf numFmtId="0" fontId="0" fillId="6" borderId="0" xfId="0" applyFill="1"/>
    <xf numFmtId="0" fontId="66" fillId="6" borderId="7" xfId="13" applyFont="1" applyFill="1" applyBorder="1" applyAlignment="1">
      <alignment horizontal="center" vertical="center"/>
    </xf>
    <xf numFmtId="0" fontId="66" fillId="6" borderId="7" xfId="13" applyFont="1" applyFill="1" applyBorder="1" applyAlignment="1">
      <alignment vertical="center"/>
    </xf>
    <xf numFmtId="0" fontId="22" fillId="3" borderId="0" xfId="13" applyFont="1" applyFill="1" applyAlignment="1">
      <alignment vertical="center"/>
    </xf>
    <xf numFmtId="43" fontId="22" fillId="3" borderId="0" xfId="1" applyFont="1" applyFill="1" applyBorder="1" applyAlignment="1">
      <alignment vertical="center"/>
    </xf>
    <xf numFmtId="0" fontId="66" fillId="6" borderId="9" xfId="13" applyFont="1" applyFill="1" applyBorder="1" applyAlignment="1">
      <alignment vertical="center"/>
    </xf>
    <xf numFmtId="0" fontId="66" fillId="6" borderId="9" xfId="13" applyFont="1" applyFill="1" applyBorder="1" applyAlignment="1">
      <alignment horizontal="center" vertical="center"/>
    </xf>
    <xf numFmtId="0" fontId="0" fillId="0" borderId="1" xfId="0" applyBorder="1"/>
    <xf numFmtId="17" fontId="2" fillId="9" borderId="1" xfId="0" applyNumberFormat="1" applyFont="1" applyFill="1" applyBorder="1" applyAlignment="1">
      <alignment horizontal="center"/>
    </xf>
    <xf numFmtId="0" fontId="5" fillId="9" borderId="0" xfId="0" applyFont="1" applyFill="1" applyAlignment="1">
      <alignment horizontal="center" vertical="top"/>
    </xf>
    <xf numFmtId="4" fontId="5" fillId="3" borderId="0" xfId="0" applyNumberFormat="1" applyFont="1" applyFill="1" applyAlignment="1">
      <alignment horizontal="center" vertical="top"/>
    </xf>
    <xf numFmtId="43" fontId="5" fillId="3" borderId="0" xfId="0" applyNumberFormat="1" applyFont="1" applyFill="1" applyAlignment="1">
      <alignment horizontal="center" vertical="top"/>
    </xf>
    <xf numFmtId="43" fontId="50" fillId="3" borderId="0" xfId="1" applyFont="1" applyFill="1" applyAlignment="1">
      <alignment horizontal="center" vertical="top"/>
    </xf>
    <xf numFmtId="43" fontId="3" fillId="3" borderId="1" xfId="1" applyFont="1" applyFill="1" applyBorder="1" applyAlignment="1">
      <alignment horizontal="center" vertical="center"/>
    </xf>
    <xf numFmtId="171" fontId="2" fillId="9" borderId="1" xfId="1" applyNumberFormat="1" applyFont="1" applyFill="1" applyBorder="1" applyAlignment="1">
      <alignment horizontal="center"/>
    </xf>
    <xf numFmtId="173" fontId="2" fillId="9" borderId="1" xfId="0" applyNumberFormat="1" applyFont="1" applyFill="1" applyBorder="1" applyAlignment="1">
      <alignment horizontal="right" vertical="center" wrapText="1"/>
    </xf>
    <xf numFmtId="10" fontId="16" fillId="2" borderId="0" xfId="3" applyNumberFormat="1" applyFont="1" applyFill="1"/>
    <xf numFmtId="17" fontId="46" fillId="3" borderId="0" xfId="18" applyNumberFormat="1" applyFill="1" applyAlignment="1">
      <alignment horizontal="left" vertical="top"/>
    </xf>
    <xf numFmtId="0" fontId="46" fillId="0" borderId="0" xfId="18" applyFill="1"/>
    <xf numFmtId="185" fontId="0" fillId="3" borderId="0" xfId="0" applyNumberFormat="1" applyFill="1"/>
    <xf numFmtId="171" fontId="0" fillId="0" borderId="0" xfId="1" applyNumberFormat="1" applyFont="1"/>
    <xf numFmtId="0" fontId="65" fillId="0" borderId="0" xfId="0" applyFont="1"/>
    <xf numFmtId="183" fontId="0" fillId="0" borderId="0" xfId="0" applyNumberFormat="1"/>
    <xf numFmtId="0" fontId="65" fillId="3" borderId="1" xfId="0" applyFont="1" applyFill="1" applyBorder="1" applyAlignment="1">
      <alignment horizontal="center"/>
    </xf>
    <xf numFmtId="17" fontId="62" fillId="3" borderId="18" xfId="0" applyNumberFormat="1" applyFont="1" applyFill="1" applyBorder="1" applyAlignment="1">
      <alignment horizontal="center" vertical="center"/>
    </xf>
    <xf numFmtId="17" fontId="14" fillId="3" borderId="18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right" vertical="center"/>
    </xf>
    <xf numFmtId="43" fontId="13" fillId="3" borderId="1" xfId="1" applyFont="1" applyFill="1" applyBorder="1" applyAlignment="1">
      <alignment horizontal="center" vertical="center" wrapText="1"/>
    </xf>
    <xf numFmtId="166" fontId="13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indent="1"/>
    </xf>
    <xf numFmtId="0" fontId="67" fillId="0" borderId="1" xfId="0" applyFont="1" applyBorder="1"/>
    <xf numFmtId="3" fontId="67" fillId="0" borderId="1" xfId="0" applyNumberFormat="1" applyFont="1" applyBorder="1"/>
    <xf numFmtId="4" fontId="67" fillId="0" borderId="1" xfId="0" applyNumberFormat="1" applyFont="1" applyBorder="1"/>
    <xf numFmtId="175" fontId="2" fillId="3" borderId="0" xfId="0" applyNumberFormat="1" applyFont="1" applyFill="1"/>
    <xf numFmtId="0" fontId="67" fillId="0" borderId="1" xfId="0" applyFont="1" applyBorder="1" applyAlignment="1">
      <alignment horizontal="center"/>
    </xf>
    <xf numFmtId="187" fontId="13" fillId="5" borderId="1" xfId="0" applyNumberFormat="1" applyFont="1" applyFill="1" applyBorder="1" applyAlignment="1">
      <alignment horizontal="right" vertical="center"/>
    </xf>
    <xf numFmtId="187" fontId="2" fillId="12" borderId="1" xfId="0" applyNumberFormat="1" applyFont="1" applyFill="1" applyBorder="1" applyAlignment="1">
      <alignment horizontal="right" vertical="center"/>
    </xf>
    <xf numFmtId="10" fontId="13" fillId="3" borderId="0" xfId="3" applyNumberFormat="1" applyFont="1" applyFill="1" applyBorder="1" applyAlignment="1">
      <alignment horizontal="right"/>
    </xf>
    <xf numFmtId="188" fontId="0" fillId="0" borderId="0" xfId="0" applyNumberFormat="1"/>
    <xf numFmtId="189" fontId="4" fillId="2" borderId="0" xfId="3" applyNumberFormat="1" applyFont="1" applyFill="1" applyAlignment="1">
      <alignment vertical="center"/>
    </xf>
    <xf numFmtId="181" fontId="2" fillId="9" borderId="1" xfId="0" applyNumberFormat="1" applyFont="1" applyFill="1" applyBorder="1"/>
    <xf numFmtId="9" fontId="4" fillId="2" borderId="0" xfId="3" applyFont="1" applyFill="1"/>
    <xf numFmtId="189" fontId="4" fillId="2" borderId="0" xfId="9" applyNumberFormat="1" applyFont="1" applyFill="1"/>
    <xf numFmtId="190" fontId="14" fillId="3" borderId="0" xfId="3" applyNumberFormat="1" applyFont="1" applyFill="1" applyAlignment="1">
      <alignment vertical="center"/>
    </xf>
    <xf numFmtId="171" fontId="16" fillId="2" borderId="0" xfId="3" applyNumberFormat="1" applyFont="1" applyFill="1"/>
    <xf numFmtId="189" fontId="0" fillId="0" borderId="0" xfId="0" applyNumberFormat="1"/>
    <xf numFmtId="189" fontId="4" fillId="2" borderId="0" xfId="0" applyNumberFormat="1" applyFont="1" applyFill="1"/>
    <xf numFmtId="189" fontId="4" fillId="2" borderId="0" xfId="9" applyNumberFormat="1" applyFont="1" applyFill="1" applyAlignment="1">
      <alignment horizontal="center" vertical="center"/>
    </xf>
    <xf numFmtId="187" fontId="0" fillId="0" borderId="0" xfId="0" applyNumberFormat="1"/>
    <xf numFmtId="187" fontId="13" fillId="5" borderId="0" xfId="0" applyNumberFormat="1" applyFont="1" applyFill="1" applyAlignment="1">
      <alignment horizontal="right" vertical="center"/>
    </xf>
    <xf numFmtId="0" fontId="2" fillId="3" borderId="0" xfId="0" applyFont="1" applyFill="1"/>
    <xf numFmtId="175" fontId="2" fillId="9" borderId="1" xfId="0" applyNumberFormat="1" applyFont="1" applyFill="1" applyBorder="1" applyAlignment="1">
      <alignment horizontal="center"/>
    </xf>
    <xf numFmtId="43" fontId="16" fillId="2" borderId="0" xfId="3" applyNumberFormat="1" applyFont="1" applyFill="1"/>
    <xf numFmtId="0" fontId="0" fillId="0" borderId="1" xfId="0" applyBorder="1" applyAlignment="1">
      <alignment horizontal="center"/>
    </xf>
    <xf numFmtId="43" fontId="0" fillId="3" borderId="0" xfId="1" applyFont="1" applyFill="1" applyBorder="1"/>
    <xf numFmtId="3" fontId="5" fillId="0" borderId="0" xfId="0" applyNumberFormat="1" applyFont="1"/>
    <xf numFmtId="166" fontId="13" fillId="3" borderId="1" xfId="1" applyNumberFormat="1" applyFont="1" applyFill="1" applyBorder="1"/>
    <xf numFmtId="0" fontId="69" fillId="0" borderId="0" xfId="0" applyFont="1"/>
    <xf numFmtId="44" fontId="4" fillId="0" borderId="0" xfId="0" applyNumberFormat="1" applyFont="1"/>
    <xf numFmtId="0" fontId="70" fillId="0" borderId="0" xfId="0" applyFont="1"/>
    <xf numFmtId="171" fontId="13" fillId="3" borderId="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44" fontId="13" fillId="3" borderId="0" xfId="0" applyNumberFormat="1" applyFont="1" applyFill="1"/>
    <xf numFmtId="166" fontId="13" fillId="3" borderId="0" xfId="1" applyNumberFormat="1" applyFont="1" applyFill="1" applyBorder="1"/>
    <xf numFmtId="8" fontId="0" fillId="3" borderId="0" xfId="0" applyNumberFormat="1" applyFill="1"/>
    <xf numFmtId="166" fontId="0" fillId="3" borderId="0" xfId="0" applyNumberFormat="1" applyFill="1"/>
    <xf numFmtId="44" fontId="0" fillId="3" borderId="0" xfId="0" applyNumberFormat="1" applyFill="1"/>
    <xf numFmtId="44" fontId="0" fillId="3" borderId="0" xfId="2" applyFont="1" applyFill="1" applyBorder="1"/>
    <xf numFmtId="168" fontId="19" fillId="0" borderId="1" xfId="0" applyNumberFormat="1" applyFont="1" applyBorder="1" applyAlignment="1">
      <alignment horizontal="center" wrapText="1"/>
    </xf>
    <xf numFmtId="0" fontId="2" fillId="9" borderId="1" xfId="0" applyFont="1" applyFill="1" applyBorder="1" applyAlignment="1">
      <alignment horizontal="right" vertical="center" wrapText="1"/>
    </xf>
    <xf numFmtId="3" fontId="2" fillId="9" borderId="1" xfId="3" applyNumberFormat="1" applyFont="1" applyFill="1" applyBorder="1" applyAlignment="1">
      <alignment horizontal="right" vertical="center"/>
    </xf>
    <xf numFmtId="43" fontId="72" fillId="3" borderId="0" xfId="1" applyFont="1" applyFill="1"/>
    <xf numFmtId="43" fontId="72" fillId="3" borderId="0" xfId="1" applyFont="1" applyFill="1" applyBorder="1"/>
    <xf numFmtId="43" fontId="72" fillId="3" borderId="0" xfId="1" applyFont="1" applyFill="1" applyAlignment="1">
      <alignment horizontal="left"/>
    </xf>
    <xf numFmtId="43" fontId="72" fillId="3" borderId="0" xfId="1" applyFont="1" applyFill="1" applyBorder="1" applyAlignment="1">
      <alignment horizontal="center" vertical="center"/>
    </xf>
    <xf numFmtId="43" fontId="72" fillId="3" borderId="0" xfId="1" applyFont="1" applyFill="1" applyAlignment="1">
      <alignment horizontal="center" vertical="center"/>
    </xf>
    <xf numFmtId="43" fontId="72" fillId="5" borderId="0" xfId="1" applyFont="1" applyFill="1" applyBorder="1" applyAlignment="1">
      <alignment horizontal="center" vertical="center"/>
    </xf>
    <xf numFmtId="43" fontId="72" fillId="2" borderId="0" xfId="1" applyFont="1" applyFill="1"/>
    <xf numFmtId="43" fontId="72" fillId="5" borderId="0" xfId="1" applyFont="1" applyFill="1" applyAlignment="1">
      <alignment horizontal="center" vertical="center" wrapText="1"/>
    </xf>
    <xf numFmtId="43" fontId="5" fillId="2" borderId="0" xfId="0" applyNumberFormat="1" applyFont="1" applyFill="1"/>
    <xf numFmtId="10" fontId="13" fillId="3" borderId="1" xfId="3" applyNumberFormat="1" applyFont="1" applyFill="1" applyBorder="1"/>
    <xf numFmtId="174" fontId="13" fillId="3" borderId="1" xfId="1" applyNumberFormat="1" applyFont="1" applyFill="1" applyBorder="1"/>
    <xf numFmtId="43" fontId="13" fillId="3" borderId="0" xfId="1" applyFont="1" applyFill="1" applyBorder="1"/>
    <xf numFmtId="43" fontId="4" fillId="3" borderId="0" xfId="1" applyFont="1" applyFill="1" applyBorder="1"/>
    <xf numFmtId="43" fontId="4" fillId="0" borderId="0" xfId="1" applyFont="1"/>
    <xf numFmtId="43" fontId="1" fillId="3" borderId="0" xfId="1" applyFont="1" applyFill="1" applyBorder="1"/>
    <xf numFmtId="43" fontId="19" fillId="3" borderId="0" xfId="1" applyFont="1" applyFill="1" applyBorder="1"/>
    <xf numFmtId="43" fontId="19" fillId="0" borderId="0" xfId="1" applyFont="1" applyBorder="1"/>
    <xf numFmtId="43" fontId="4" fillId="3" borderId="0" xfId="0" applyNumberFormat="1" applyFont="1" applyFill="1"/>
    <xf numFmtId="9" fontId="5" fillId="0" borderId="0" xfId="3" applyFont="1"/>
    <xf numFmtId="17" fontId="13" fillId="3" borderId="18" xfId="0" applyNumberFormat="1" applyFont="1" applyFill="1" applyBorder="1" applyAlignment="1">
      <alignment vertical="center"/>
    </xf>
    <xf numFmtId="17" fontId="13" fillId="3" borderId="20" xfId="0" applyNumberFormat="1" applyFont="1" applyFill="1" applyBorder="1" applyAlignment="1">
      <alignment vertical="center"/>
    </xf>
    <xf numFmtId="17" fontId="13" fillId="3" borderId="19" xfId="0" applyNumberFormat="1" applyFont="1" applyFill="1" applyBorder="1" applyAlignment="1">
      <alignment vertical="center"/>
    </xf>
    <xf numFmtId="17" fontId="2" fillId="9" borderId="18" xfId="0" applyNumberFormat="1" applyFont="1" applyFill="1" applyBorder="1" applyAlignment="1">
      <alignment vertical="center"/>
    </xf>
    <xf numFmtId="17" fontId="2" fillId="9" borderId="20" xfId="0" applyNumberFormat="1" applyFont="1" applyFill="1" applyBorder="1" applyAlignment="1">
      <alignment vertical="center"/>
    </xf>
    <xf numFmtId="17" fontId="2" fillId="9" borderId="19" xfId="0" applyNumberFormat="1" applyFont="1" applyFill="1" applyBorder="1" applyAlignment="1">
      <alignment vertical="center"/>
    </xf>
    <xf numFmtId="0" fontId="2" fillId="9" borderId="18" xfId="0" applyFont="1" applyFill="1" applyBorder="1"/>
    <xf numFmtId="0" fontId="2" fillId="9" borderId="20" xfId="0" applyFont="1" applyFill="1" applyBorder="1"/>
    <xf numFmtId="0" fontId="2" fillId="9" borderId="19" xfId="0" applyFont="1" applyFill="1" applyBorder="1"/>
    <xf numFmtId="43" fontId="32" fillId="0" borderId="0" xfId="0" applyNumberFormat="1" applyFont="1"/>
    <xf numFmtId="10" fontId="32" fillId="0" borderId="0" xfId="0" applyNumberFormat="1" applyFont="1"/>
    <xf numFmtId="10" fontId="30" fillId="0" borderId="0" xfId="0" applyNumberFormat="1" applyFont="1" applyAlignment="1">
      <alignment vertical="center" wrapText="1"/>
    </xf>
    <xf numFmtId="0" fontId="32" fillId="0" borderId="0" xfId="0" applyFont="1"/>
    <xf numFmtId="180" fontId="32" fillId="0" borderId="0" xfId="0" applyNumberFormat="1" applyFont="1"/>
    <xf numFmtId="0" fontId="32" fillId="0" borderId="0" xfId="0" applyFont="1" applyAlignment="1">
      <alignment vertical="center"/>
    </xf>
    <xf numFmtId="0" fontId="73" fillId="0" borderId="0" xfId="0" applyFont="1"/>
    <xf numFmtId="10" fontId="74" fillId="0" borderId="0" xfId="1" applyNumberFormat="1" applyFont="1" applyAlignment="1"/>
    <xf numFmtId="10" fontId="74" fillId="0" borderId="0" xfId="3" applyNumberFormat="1" applyFont="1" applyAlignment="1">
      <alignment horizontal="center"/>
    </xf>
    <xf numFmtId="0" fontId="67" fillId="0" borderId="0" xfId="0" applyFont="1"/>
    <xf numFmtId="0" fontId="67" fillId="0" borderId="0" xfId="0" applyFont="1" applyAlignment="1">
      <alignment horizontal="center"/>
    </xf>
    <xf numFmtId="4" fontId="67" fillId="0" borderId="0" xfId="0" applyNumberFormat="1" applyFont="1"/>
    <xf numFmtId="3" fontId="67" fillId="0" borderId="0" xfId="0" applyNumberFormat="1" applyFont="1"/>
    <xf numFmtId="0" fontId="17" fillId="3" borderId="0" xfId="0" applyFont="1" applyFill="1"/>
    <xf numFmtId="3" fontId="0" fillId="0" borderId="21" xfId="0" applyNumberFormat="1" applyBorder="1"/>
    <xf numFmtId="185" fontId="14" fillId="3" borderId="1" xfId="0" applyNumberFormat="1" applyFont="1" applyFill="1" applyBorder="1" applyAlignment="1">
      <alignment horizontal="right"/>
    </xf>
    <xf numFmtId="181" fontId="13" fillId="10" borderId="1" xfId="0" applyNumberFormat="1" applyFont="1" applyFill="1" applyBorder="1" applyAlignment="1">
      <alignment horizontal="right"/>
    </xf>
    <xf numFmtId="0" fontId="0" fillId="0" borderId="1" xfId="0" applyBorder="1" applyAlignment="1">
      <alignment vertical="center"/>
    </xf>
    <xf numFmtId="43" fontId="14" fillId="4" borderId="1" xfId="1" applyFont="1" applyFill="1" applyBorder="1" applyAlignment="1"/>
    <xf numFmtId="4" fontId="0" fillId="0" borderId="0" xfId="0" applyNumberFormat="1" applyAlignment="1">
      <alignment horizontal="center"/>
    </xf>
    <xf numFmtId="17" fontId="0" fillId="0" borderId="0" xfId="0" applyNumberFormat="1" applyAlignment="1">
      <alignment vertical="center"/>
    </xf>
    <xf numFmtId="187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43" fontId="1" fillId="0" borderId="0" xfId="1" applyFont="1" applyFill="1" applyBorder="1"/>
    <xf numFmtId="175" fontId="0" fillId="0" borderId="0" xfId="0" applyNumberFormat="1"/>
    <xf numFmtId="9" fontId="1" fillId="0" borderId="0" xfId="3" applyFont="1" applyFill="1" applyBorder="1"/>
    <xf numFmtId="0" fontId="15" fillId="9" borderId="1" xfId="0" applyFont="1" applyFill="1" applyBorder="1" applyAlignment="1">
      <alignment horizontal="left"/>
    </xf>
    <xf numFmtId="0" fontId="76" fillId="0" borderId="0" xfId="0" applyFont="1" applyAlignment="1">
      <alignment horizontal="left"/>
    </xf>
    <xf numFmtId="169" fontId="67" fillId="0" borderId="0" xfId="0" applyNumberFormat="1" applyFont="1" applyAlignment="1">
      <alignment horizontal="right"/>
    </xf>
    <xf numFmtId="3" fontId="76" fillId="0" borderId="0" xfId="0" applyNumberFormat="1" applyFont="1" applyAlignment="1">
      <alignment horizontal="left"/>
    </xf>
    <xf numFmtId="166" fontId="67" fillId="0" borderId="1" xfId="1" applyNumberFormat="1" applyFont="1" applyBorder="1" applyAlignment="1"/>
    <xf numFmtId="191" fontId="67" fillId="0" borderId="1" xfId="0" applyNumberFormat="1" applyFont="1" applyBorder="1"/>
    <xf numFmtId="175" fontId="0" fillId="0" borderId="1" xfId="0" applyNumberFormat="1" applyBorder="1"/>
    <xf numFmtId="2" fontId="67" fillId="0" borderId="1" xfId="0" applyNumberFormat="1" applyFont="1" applyBorder="1" applyAlignment="1">
      <alignment horizontal="right"/>
    </xf>
    <xf numFmtId="2" fontId="0" fillId="0" borderId="0" xfId="0" applyNumberFormat="1" applyAlignment="1">
      <alignment horizontal="center"/>
    </xf>
    <xf numFmtId="2" fontId="67" fillId="0" borderId="1" xfId="0" applyNumberFormat="1" applyFont="1" applyBorder="1"/>
    <xf numFmtId="166" fontId="0" fillId="0" borderId="1" xfId="1" applyNumberFormat="1" applyFont="1" applyBorder="1" applyAlignment="1"/>
    <xf numFmtId="43" fontId="14" fillId="4" borderId="1" xfId="1" applyFont="1" applyFill="1" applyBorder="1" applyAlignment="1">
      <alignment vertical="center"/>
    </xf>
    <xf numFmtId="171" fontId="14" fillId="4" borderId="1" xfId="1" applyNumberFormat="1" applyFont="1" applyFill="1" applyBorder="1" applyAlignment="1">
      <alignment vertical="center"/>
    </xf>
    <xf numFmtId="0" fontId="17" fillId="0" borderId="0" xfId="0" applyFont="1"/>
    <xf numFmtId="4" fontId="17" fillId="0" borderId="0" xfId="0" applyNumberFormat="1" applyFont="1"/>
    <xf numFmtId="0" fontId="13" fillId="0" borderId="0" xfId="0" applyFont="1" applyAlignment="1">
      <alignment horizontal="left"/>
    </xf>
    <xf numFmtId="3" fontId="13" fillId="10" borderId="0" xfId="0" applyNumberFormat="1" applyFont="1" applyFill="1"/>
    <xf numFmtId="43" fontId="0" fillId="3" borderId="0" xfId="1" applyFont="1" applyFill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192" fontId="0" fillId="0" borderId="0" xfId="0" applyNumberFormat="1"/>
    <xf numFmtId="10" fontId="0" fillId="0" borderId="1" xfId="3" applyNumberFormat="1" applyFont="1" applyBorder="1" applyAlignment="1">
      <alignment vertical="center"/>
    </xf>
    <xf numFmtId="3" fontId="63" fillId="3" borderId="0" xfId="0" applyNumberFormat="1" applyFont="1" applyFill="1"/>
    <xf numFmtId="10" fontId="5" fillId="3" borderId="0" xfId="3" applyNumberFormat="1" applyFont="1" applyFill="1" applyAlignment="1">
      <alignment horizontal="center" vertical="center"/>
    </xf>
    <xf numFmtId="2" fontId="4" fillId="2" borderId="0" xfId="9" applyNumberFormat="1" applyFont="1" applyFill="1"/>
    <xf numFmtId="0" fontId="0" fillId="3" borderId="1" xfId="0" applyFill="1" applyBorder="1" applyAlignment="1">
      <alignment horizontal="left" wrapText="1" indent="1"/>
    </xf>
    <xf numFmtId="0" fontId="0" fillId="3" borderId="1" xfId="0" applyFill="1" applyBorder="1"/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wrapText="1"/>
    </xf>
    <xf numFmtId="0" fontId="14" fillId="4" borderId="1" xfId="0" applyFont="1" applyFill="1" applyBorder="1"/>
    <xf numFmtId="171" fontId="14" fillId="4" borderId="1" xfId="1" applyNumberFormat="1" applyFont="1" applyFill="1" applyBorder="1"/>
    <xf numFmtId="0" fontId="14" fillId="4" borderId="1" xfId="18" applyFont="1" applyFill="1" applyBorder="1"/>
    <xf numFmtId="0" fontId="14" fillId="4" borderId="1" xfId="18" applyFont="1" applyFill="1" applyBorder="1" applyAlignment="1">
      <alignment wrapText="1"/>
    </xf>
    <xf numFmtId="10" fontId="15" fillId="9" borderId="1" xfId="3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17" fontId="13" fillId="0" borderId="1" xfId="0" applyNumberFormat="1" applyFont="1" applyBorder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center"/>
    </xf>
    <xf numFmtId="49" fontId="58" fillId="3" borderId="1" xfId="2" applyNumberFormat="1" applyFont="1" applyFill="1" applyBorder="1" applyAlignment="1">
      <alignment vertical="center"/>
    </xf>
    <xf numFmtId="49" fontId="13" fillId="10" borderId="1" xfId="2" applyNumberFormat="1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172" fontId="13" fillId="2" borderId="1" xfId="0" applyNumberFormat="1" applyFont="1" applyFill="1" applyBorder="1" applyAlignment="1">
      <alignment horizontal="left" wrapText="1"/>
    </xf>
    <xf numFmtId="0" fontId="17" fillId="9" borderId="1" xfId="0" applyFont="1" applyFill="1" applyBorder="1" applyAlignment="1">
      <alignment horizontal="center" vertical="center" wrapText="1"/>
    </xf>
    <xf numFmtId="17" fontId="13" fillId="3" borderId="18" xfId="0" applyNumberFormat="1" applyFont="1" applyFill="1" applyBorder="1" applyAlignment="1">
      <alignment horizontal="left" vertical="center" wrapText="1"/>
    </xf>
    <xf numFmtId="17" fontId="13" fillId="3" borderId="20" xfId="0" applyNumberFormat="1" applyFont="1" applyFill="1" applyBorder="1" applyAlignment="1">
      <alignment horizontal="left" vertical="center" wrapText="1"/>
    </xf>
    <xf numFmtId="17" fontId="13" fillId="3" borderId="19" xfId="0" applyNumberFormat="1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/>
    </xf>
    <xf numFmtId="17" fontId="13" fillId="0" borderId="18" xfId="0" applyNumberFormat="1" applyFont="1" applyBorder="1" applyAlignment="1">
      <alignment horizontal="left" vertical="center"/>
    </xf>
    <xf numFmtId="17" fontId="13" fillId="0" borderId="20" xfId="0" applyNumberFormat="1" applyFont="1" applyBorder="1" applyAlignment="1">
      <alignment horizontal="left" vertical="center"/>
    </xf>
    <xf numFmtId="17" fontId="13" fillId="0" borderId="19" xfId="0" applyNumberFormat="1" applyFont="1" applyBorder="1" applyAlignment="1">
      <alignment horizontal="left" vertical="center"/>
    </xf>
    <xf numFmtId="17" fontId="13" fillId="0" borderId="18" xfId="0" applyNumberFormat="1" applyFont="1" applyBorder="1" applyAlignment="1">
      <alignment horizontal="left"/>
    </xf>
    <xf numFmtId="17" fontId="13" fillId="0" borderId="20" xfId="0" applyNumberFormat="1" applyFont="1" applyBorder="1" applyAlignment="1">
      <alignment horizontal="left"/>
    </xf>
    <xf numFmtId="17" fontId="13" fillId="0" borderId="19" xfId="0" applyNumberFormat="1" applyFont="1" applyBorder="1" applyAlignment="1">
      <alignment horizontal="left"/>
    </xf>
    <xf numFmtId="17" fontId="2" fillId="3" borderId="0" xfId="0" applyNumberFormat="1" applyFont="1" applyFill="1" applyAlignment="1">
      <alignment horizontal="center"/>
    </xf>
    <xf numFmtId="17" fontId="2" fillId="9" borderId="18" xfId="0" applyNumberFormat="1" applyFont="1" applyFill="1" applyBorder="1" applyAlignment="1">
      <alignment horizontal="center" vertical="center"/>
    </xf>
    <xf numFmtId="17" fontId="2" fillId="9" borderId="20" xfId="0" applyNumberFormat="1" applyFont="1" applyFill="1" applyBorder="1" applyAlignment="1">
      <alignment horizontal="center" vertical="center"/>
    </xf>
    <xf numFmtId="17" fontId="2" fillId="9" borderId="19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17" fillId="9" borderId="1" xfId="2" applyNumberFormat="1" applyFont="1" applyFill="1" applyBorder="1" applyAlignment="1">
      <alignment horizontal="center"/>
    </xf>
    <xf numFmtId="3" fontId="13" fillId="0" borderId="1" xfId="2" applyNumberFormat="1" applyFont="1" applyBorder="1" applyAlignment="1">
      <alignment horizontal="center"/>
    </xf>
    <xf numFmtId="0" fontId="2" fillId="9" borderId="1" xfId="4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17" fontId="2" fillId="9" borderId="1" xfId="0" applyNumberFormat="1" applyFont="1" applyFill="1" applyBorder="1" applyAlignment="1">
      <alignment vertical="center"/>
    </xf>
    <xf numFmtId="17" fontId="13" fillId="3" borderId="1" xfId="0" applyNumberFormat="1" applyFont="1" applyFill="1" applyBorder="1" applyAlignment="1">
      <alignment vertical="center"/>
    </xf>
    <xf numFmtId="4" fontId="13" fillId="3" borderId="1" xfId="4" applyNumberFormat="1" applyFont="1" applyFill="1" applyBorder="1" applyAlignment="1">
      <alignment horizontal="center" vertical="center"/>
    </xf>
    <xf numFmtId="184" fontId="13" fillId="3" borderId="1" xfId="4" applyNumberFormat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164" fontId="55" fillId="10" borderId="21" xfId="0" applyNumberFormat="1" applyFont="1" applyFill="1" applyBorder="1" applyAlignment="1">
      <alignment horizontal="center" vertical="center"/>
    </xf>
    <xf numFmtId="164" fontId="55" fillId="10" borderId="22" xfId="0" applyNumberFormat="1" applyFont="1" applyFill="1" applyBorder="1" applyAlignment="1">
      <alignment horizontal="center" vertical="center"/>
    </xf>
    <xf numFmtId="164" fontId="55" fillId="10" borderId="23" xfId="0" applyNumberFormat="1" applyFont="1" applyFill="1" applyBorder="1" applyAlignment="1">
      <alignment horizontal="center" vertical="center"/>
    </xf>
    <xf numFmtId="0" fontId="6" fillId="9" borderId="0" xfId="9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 wrapText="1"/>
    </xf>
    <xf numFmtId="0" fontId="44" fillId="9" borderId="1" xfId="0" applyFont="1" applyFill="1" applyBorder="1" applyAlignment="1">
      <alignment horizontal="center" vertical="center" wrapText="1"/>
    </xf>
    <xf numFmtId="164" fontId="55" fillId="10" borderId="21" xfId="0" applyNumberFormat="1" applyFont="1" applyFill="1" applyBorder="1" applyAlignment="1">
      <alignment horizontal="center" vertical="center" wrapText="1"/>
    </xf>
    <xf numFmtId="164" fontId="55" fillId="10" borderId="22" xfId="0" applyNumberFormat="1" applyFont="1" applyFill="1" applyBorder="1" applyAlignment="1">
      <alignment horizontal="center" vertical="center" wrapText="1"/>
    </xf>
    <xf numFmtId="164" fontId="55" fillId="10" borderId="23" xfId="0" applyNumberFormat="1" applyFont="1" applyFill="1" applyBorder="1" applyAlignment="1">
      <alignment horizontal="center" vertical="center" wrapText="1"/>
    </xf>
    <xf numFmtId="164" fontId="55" fillId="10" borderId="1" xfId="0" applyNumberFormat="1" applyFont="1" applyFill="1" applyBorder="1" applyAlignment="1">
      <alignment horizontal="center" vertical="center"/>
    </xf>
    <xf numFmtId="164" fontId="55" fillId="10" borderId="1" xfId="0" applyNumberFormat="1" applyFont="1" applyFill="1" applyBorder="1" applyAlignment="1">
      <alignment horizontal="center" vertical="center" wrapText="1"/>
    </xf>
    <xf numFmtId="0" fontId="66" fillId="6" borderId="7" xfId="13" applyFont="1" applyFill="1" applyBorder="1" applyAlignment="1">
      <alignment horizontal="center" vertical="center"/>
    </xf>
    <xf numFmtId="0" fontId="0" fillId="9" borderId="1" xfId="0" applyFill="1" applyBorder="1" applyAlignment="1"/>
    <xf numFmtId="0" fontId="58" fillId="0" borderId="1" xfId="0" applyFont="1" applyBorder="1" applyAlignment="1"/>
  </cellXfs>
  <cellStyles count="27">
    <cellStyle name="Comma 2 2" xfId="11" xr:uid="{00000000-0005-0000-0000-000000000000}"/>
    <cellStyle name="Comma 2 2 2" xfId="21" xr:uid="{F95D9A09-EE7C-46A8-9B2D-EFDD277FEE1A}"/>
    <cellStyle name="Hiperlink" xfId="18" builtinId="8"/>
    <cellStyle name="Moeda" xfId="2" builtinId="4"/>
    <cellStyle name="Moeda 2" xfId="8" xr:uid="{00000000-0005-0000-0000-000003000000}"/>
    <cellStyle name="Moeda 3" xfId="12" xr:uid="{00000000-0005-0000-0000-000004000000}"/>
    <cellStyle name="Moeda 3 2" xfId="22" xr:uid="{8305A936-278A-46D0-A881-B27B22F9E6B6}"/>
    <cellStyle name="Moeda 4" xfId="20" xr:uid="{D95AADDB-6CCB-41D7-8D08-1B96E97E3548}"/>
    <cellStyle name="Moeda 5" xfId="26" xr:uid="{B998C5EF-EDA0-4497-89F4-30C5EA6B8559}"/>
    <cellStyle name="Normal" xfId="0" builtinId="0"/>
    <cellStyle name="Normal - Style1 2 2" xfId="10" xr:uid="{00000000-0005-0000-0000-000006000000}"/>
    <cellStyle name="Normal 12" xfId="13" xr:uid="{00000000-0005-0000-0000-000007000000}"/>
    <cellStyle name="Normal 2" xfId="9" xr:uid="{00000000-0005-0000-0000-000008000000}"/>
    <cellStyle name="Normal 2 2" xfId="14" xr:uid="{00000000-0005-0000-0000-000009000000}"/>
    <cellStyle name="Normal 3" xfId="25" xr:uid="{829CCED1-B3F9-4D75-903B-F70F5C2348C7}"/>
    <cellStyle name="Normal 4" xfId="4" xr:uid="{00000000-0005-0000-0000-00000A000000}"/>
    <cellStyle name="Normal 4 2" xfId="17" xr:uid="{33CCF34B-6E45-461F-9C81-66D8EF568FB1}"/>
    <cellStyle name="Normal 5" xfId="5" xr:uid="{00000000-0005-0000-0000-00000B000000}"/>
    <cellStyle name="Porcentagem" xfId="3" builtinId="5"/>
    <cellStyle name="Porcentagem 2" xfId="7" xr:uid="{00000000-0005-0000-0000-00000D000000}"/>
    <cellStyle name="Separador de milhares 3" xfId="6" xr:uid="{00000000-0005-0000-0000-00000E000000}"/>
    <cellStyle name="Separador de milhares 3 2" xfId="16" xr:uid="{00000000-0005-0000-0000-00000F000000}"/>
    <cellStyle name="Separador de milhares 3 2 2" xfId="24" xr:uid="{B456FC9E-A23B-4681-BC5A-BABDB76C3840}"/>
    <cellStyle name="Vírgula" xfId="1" builtinId="3"/>
    <cellStyle name="Vírgula 2" xfId="15" xr:uid="{00000000-0005-0000-0000-000011000000}"/>
    <cellStyle name="Vírgula 2 2" xfId="23" xr:uid="{F447A4BF-3B99-41EB-AAE6-A8B9F79CEB0D}"/>
    <cellStyle name="Vírgula 3" xfId="19" xr:uid="{57B2FF17-5F37-4A59-8727-34299D33D9EF}"/>
  </cellStyles>
  <dxfs count="0"/>
  <tableStyles count="0" defaultTableStyle="TableStyleMedium2" defaultPivotStyle="PivotStyleLight16"/>
  <colors>
    <mruColors>
      <color rgb="FFFFFF99"/>
      <color rgb="FF08CE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1">
                <a:solidFill>
                  <a:schemeClr val="accent1">
                    <a:lumMod val="75000"/>
                  </a:schemeClr>
                </a:solidFill>
              </a:rPr>
              <a:t>Variação dos indicadores inflacionários  (janeiro a dezembro de 2025 - em %)</a:t>
            </a:r>
          </a:p>
        </c:rich>
      </c:tx>
      <c:layout>
        <c:manualLayout>
          <c:xMode val="edge"/>
          <c:yMode val="edge"/>
          <c:x val="0.22790136192033375"/>
          <c:y val="3.950000865888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6697083468241011"/>
          <c:y val="0.15538540016880523"/>
          <c:w val="0.7432329620214797"/>
          <c:h val="0.703429157327413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Índices_2025!$B$8</c:f>
              <c:strCache>
                <c:ptCount val="1"/>
                <c:pt idx="0">
                  <c:v>Índices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(Índices_2025!$E$9:$F$9,Índices_2025!$B$52)</c:f>
              <c:strCache>
                <c:ptCount val="3"/>
                <c:pt idx="0">
                  <c:v>INPC</c:v>
                </c:pt>
                <c:pt idx="1">
                  <c:v>IPCA</c:v>
                </c:pt>
                <c:pt idx="2">
                  <c:v>Δenergia</c:v>
                </c:pt>
              </c:strCache>
            </c:strRef>
          </c:cat>
          <c:val>
            <c:numRef>
              <c:f>(Índices_2025!$E$23:$F$23,Índices_2025!$H$52)</c:f>
              <c:numCache>
                <c:formatCode>0.00%</c:formatCode>
                <c:ptCount val="3"/>
                <c:pt idx="0">
                  <c:v>3.8978363652583115E-2</c:v>
                </c:pt>
                <c:pt idx="1">
                  <c:v>4.2643475811562581E-2</c:v>
                </c:pt>
                <c:pt idx="2">
                  <c:v>-0.12943530343805398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7-413F-AA12-1AAFCCE3DD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251599887"/>
        <c:axId val="1242784383"/>
      </c:barChart>
      <c:catAx>
        <c:axId val="125159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42784383"/>
        <c:crossesAt val="0"/>
        <c:auto val="1"/>
        <c:lblAlgn val="ctr"/>
        <c:lblOffset val="100"/>
        <c:noMultiLvlLbl val="0"/>
      </c:catAx>
      <c:valAx>
        <c:axId val="1242784383"/>
        <c:scaling>
          <c:orientation val="minMax"/>
          <c:max val="0.22000000000000003"/>
          <c:min val="0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1599887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8354769102886"/>
          <c:y val="0.96126965437731493"/>
          <c:w val="0.2005321081068771"/>
          <c:h val="3.752569480216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 sz="1200" i="1"/>
              <a:t>Quadro Resumo - Bônus-Desconto 2025 por Categoria</a:t>
            </a:r>
          </a:p>
        </c:rich>
      </c:tx>
      <c:layout>
        <c:manualLayout>
          <c:xMode val="edge"/>
          <c:yMode val="edge"/>
          <c:x val="0.23279333021376344"/>
          <c:y val="1.0008695733111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034241211651819"/>
          <c:y val="0.2110560776677109"/>
          <c:w val="0.56629009078783188"/>
          <c:h val="0.60507747015494029"/>
        </c:manualLayout>
      </c:layout>
      <c:pie3DChart>
        <c:varyColors val="1"/>
        <c:ser>
          <c:idx val="0"/>
          <c:order val="0"/>
          <c:tx>
            <c:strRef>
              <c:f>'Bônus-Desconto'!$H$9:$N$9</c:f>
              <c:strCache>
                <c:ptCount val="7"/>
                <c:pt idx="0">
                  <c:v>Quadro Resumo - Bônus-Desconto</c:v>
                </c:pt>
              </c:strCache>
            </c:strRef>
          </c:tx>
          <c:explosion val="16"/>
          <c:dPt>
            <c:idx val="0"/>
            <c:bubble3D val="0"/>
            <c:explosion val="10"/>
            <c:spPr>
              <a:solidFill>
                <a:schemeClr val="tx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90B-4D75-89BB-3A41C736D376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90B-4D75-89BB-3A41C736D376}"/>
              </c:ext>
            </c:extLst>
          </c:dPt>
          <c:dPt>
            <c:idx val="2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90B-4D75-89BB-3A41C736D376}"/>
              </c:ext>
            </c:extLst>
          </c:dPt>
          <c:dPt>
            <c:idx val="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90B-4D75-89BB-3A41C736D376}"/>
              </c:ext>
            </c:extLst>
          </c:dPt>
          <c:dLbls>
            <c:dLbl>
              <c:idx val="0"/>
              <c:layout>
                <c:manualLayout>
                  <c:x val="-2.8308563340410475E-3"/>
                  <c:y val="1.532567049808425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0B-4D75-89BB-3A41C736D376}"/>
                </c:ext>
              </c:extLst>
            </c:dLbl>
            <c:dLbl>
              <c:idx val="1"/>
              <c:layout>
                <c:manualLayout>
                  <c:x val="2.7761593515546315E-2"/>
                  <c:y val="-4.9808527459534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0B-4D75-89BB-3A41C736D376}"/>
                </c:ext>
              </c:extLst>
            </c:dLbl>
            <c:dLbl>
              <c:idx val="2"/>
              <c:layout>
                <c:manualLayout>
                  <c:x val="5.3503879278522848E-2"/>
                  <c:y val="1.37188496599214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0B-4D75-89BB-3A41C736D3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'Bônus-Desconto'!$K$10:$N$10</c:f>
              <c:strCache>
                <c:ptCount val="4"/>
                <c:pt idx="0">
                  <c:v>Residencial Padrão</c:v>
                </c:pt>
                <c:pt idx="1">
                  <c:v>Residencial Social</c:v>
                </c:pt>
                <c:pt idx="2">
                  <c:v>Comercial</c:v>
                </c:pt>
                <c:pt idx="3">
                  <c:v>Industrial</c:v>
                </c:pt>
              </c:strCache>
            </c:strRef>
          </c:cat>
          <c:val>
            <c:numRef>
              <c:f>'Bônus-Desconto'!$K$15:$N$15</c:f>
              <c:numCache>
                <c:formatCode>_(* #,##0.00_);_(* \(#,##0.00\);_(* "-"??_);_(@_)</c:formatCode>
                <c:ptCount val="4"/>
                <c:pt idx="0">
                  <c:v>10222879.968</c:v>
                </c:pt>
                <c:pt idx="1">
                  <c:v>494640.576</c:v>
                </c:pt>
                <c:pt idx="2">
                  <c:v>2793506.76</c:v>
                </c:pt>
                <c:pt idx="3">
                  <c:v>117461.512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0B-4D75-89BB-3A41C736D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39957982959141"/>
          <c:y val="0.92768153980752388"/>
          <c:w val="0.49791532496998114"/>
          <c:h val="6.0484294301921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1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rPr>
              <a:t>Proporção dos custos da Parcela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1" i="0" u="none" strike="noStrike" kern="1200" baseline="0">
              <a:solidFill>
                <a:srgbClr val="1F497D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881638195583513E-2"/>
          <c:y val="0.22780392156862744"/>
          <c:w val="0.83313613354700333"/>
          <c:h val="0.6236662034892696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BFB-483D-8DEE-F835C01AA039}"/>
              </c:ext>
            </c:extLst>
          </c:dPt>
          <c:dPt>
            <c:idx val="1"/>
            <c:bubble3D val="0"/>
            <c:explosion val="3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BFB-483D-8DEE-F835C01AA039}"/>
              </c:ext>
            </c:extLst>
          </c:dPt>
          <c:dPt>
            <c:idx val="2"/>
            <c:bubble3D val="0"/>
            <c:explosion val="3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BFB-483D-8DEE-F835C01AA039}"/>
              </c:ext>
            </c:extLst>
          </c:dPt>
          <c:dPt>
            <c:idx val="3"/>
            <c:bubble3D val="0"/>
            <c:explosion val="3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BFB-483D-8DEE-F835C01AA039}"/>
              </c:ext>
            </c:extLst>
          </c:dPt>
          <c:dPt>
            <c:idx val="4"/>
            <c:bubble3D val="0"/>
            <c:explosion val="6"/>
            <c:spPr>
              <a:gradFill rotWithShape="1">
                <a:gsLst>
                  <a:gs pos="0">
                    <a:schemeClr val="accent1">
                      <a:tint val="54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54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54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BFB-483D-8DEE-F835C01AA039}"/>
              </c:ext>
            </c:extLst>
          </c:dPt>
          <c:dLbls>
            <c:dLbl>
              <c:idx val="0"/>
              <c:layout>
                <c:manualLayout>
                  <c:x val="3.2478909640099321E-2"/>
                  <c:y val="3.651567083526320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FB-483D-8DEE-F835C01AA039}"/>
                </c:ext>
              </c:extLst>
            </c:dLbl>
            <c:dLbl>
              <c:idx val="1"/>
              <c:layout>
                <c:manualLayout>
                  <c:x val="1.6212967382712717E-2"/>
                  <c:y val="-1.92564458854407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FB-483D-8DEE-F835C01AA039}"/>
                </c:ext>
              </c:extLst>
            </c:dLbl>
            <c:dLbl>
              <c:idx val="2"/>
              <c:layout>
                <c:manualLayout>
                  <c:x val="-2.0580948473897361E-2"/>
                  <c:y val="1.7137563686892081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FB-483D-8DEE-F835C01AA039}"/>
                </c:ext>
              </c:extLst>
            </c:dLbl>
            <c:dLbl>
              <c:idx val="3"/>
              <c:layout>
                <c:manualLayout>
                  <c:x val="4.7452348820679726E-3"/>
                  <c:y val="1.84857186969275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FB-483D-8DEE-F835C01AA039}"/>
                </c:ext>
              </c:extLst>
            </c:dLbl>
            <c:dLbl>
              <c:idx val="4"/>
              <c:layout>
                <c:manualLayout>
                  <c:x val="-3.5300415761912216E-2"/>
                  <c:y val="2.40478616643507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FB-483D-8DEE-F835C01AA03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'VPB 2026'!$B$11:$B$15</c:f>
              <c:strCache>
                <c:ptCount val="5"/>
                <c:pt idx="0">
                  <c:v>Pessoal</c:v>
                </c:pt>
                <c:pt idx="1">
                  <c:v>Energia Elétrica</c:v>
                </c:pt>
                <c:pt idx="2">
                  <c:v>Material </c:v>
                </c:pt>
                <c:pt idx="3">
                  <c:v>Remuneração dos Investimentos</c:v>
                </c:pt>
                <c:pt idx="4">
                  <c:v>Outros Custos</c:v>
                </c:pt>
              </c:strCache>
            </c:strRef>
          </c:cat>
          <c:val>
            <c:numRef>
              <c:f>'VPB 2026'!$D$11:$D$15</c:f>
              <c:numCache>
                <c:formatCode>#,##0</c:formatCode>
                <c:ptCount val="5"/>
                <c:pt idx="0">
                  <c:v>652383793.29318869</c:v>
                </c:pt>
                <c:pt idx="1">
                  <c:v>208041454.10000002</c:v>
                </c:pt>
                <c:pt idx="2">
                  <c:v>126277424.02000003</c:v>
                </c:pt>
                <c:pt idx="3">
                  <c:v>667378494.50257242</c:v>
                </c:pt>
                <c:pt idx="4">
                  <c:v>359693124.39187902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2B-41AA-B5CE-903D53418F2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1" i="1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rPr>
              <a:t>Variação dos indicadores inflacionários (jan a dez de 2025 - em %)</a:t>
            </a:r>
          </a:p>
        </c:rich>
      </c:tx>
      <c:layout>
        <c:manualLayout>
          <c:xMode val="edge"/>
          <c:yMode val="edge"/>
          <c:x val="0.18087521205222865"/>
          <c:y val="4.2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1" u="none" strike="noStrike" kern="1200" baseline="0">
              <a:solidFill>
                <a:srgbClr val="1F497D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828212762699339"/>
          <c:y val="0.16268346456692914"/>
          <c:w val="0.82656301930856457"/>
          <c:h val="0.62204600895476303"/>
        </c:manualLayout>
      </c:layout>
      <c:barChart>
        <c:barDir val="col"/>
        <c:grouping val="clustered"/>
        <c:varyColors val="0"/>
        <c:ser>
          <c:idx val="0"/>
          <c:order val="0"/>
          <c:tx>
            <c:v>Proporção de custo</c:v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('VPB 2026'!$C$11,'VPB 2026'!$C$12,'VPB 2026'!$C$18)</c:f>
              <c:strCache>
                <c:ptCount val="3"/>
                <c:pt idx="0">
                  <c:v>%P x ΔINPC</c:v>
                </c:pt>
                <c:pt idx="1">
                  <c:v>%EE x Δenergia</c:v>
                </c:pt>
                <c:pt idx="2">
                  <c:v>(%RI+%MT+%OC) x ΔIPCA</c:v>
                </c:pt>
              </c:strCache>
            </c:strRef>
          </c:cat>
          <c:val>
            <c:numRef>
              <c:f>('VPB 2026'!$E$11,'VPB 2026'!$E$12,'VPB 2026'!$E$18)</c:f>
              <c:numCache>
                <c:formatCode>0.00%</c:formatCode>
                <c:ptCount val="3"/>
                <c:pt idx="0">
                  <c:v>0.32396073206075415</c:v>
                </c:pt>
                <c:pt idx="1">
                  <c:v>0.10330922144617209</c:v>
                </c:pt>
                <c:pt idx="2">
                  <c:v>0.5727300464930738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F-4981-88B0-6859E4E9587C}"/>
            </c:ext>
          </c:extLst>
        </c:ser>
        <c:ser>
          <c:idx val="1"/>
          <c:order val="1"/>
          <c:tx>
            <c:v>Índices econômicos</c:v>
          </c:tx>
          <c:spPr>
            <a:gradFill rotWithShape="1">
              <a:gsLst>
                <a:gs pos="0">
                  <a:schemeClr val="accent1">
                    <a:tint val="77000"/>
                    <a:shade val="51000"/>
                    <a:satMod val="130000"/>
                  </a:schemeClr>
                </a:gs>
                <a:gs pos="80000">
                  <a:schemeClr val="accent1">
                    <a:tint val="77000"/>
                    <a:shade val="93000"/>
                    <a:satMod val="130000"/>
                  </a:schemeClr>
                </a:gs>
                <a:gs pos="100000">
                  <a:schemeClr val="accent1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('VPB 2026'!$C$11,'VPB 2026'!$C$12,'VPB 2026'!$C$18)</c:f>
              <c:strCache>
                <c:ptCount val="3"/>
                <c:pt idx="0">
                  <c:v>%P x ΔINPC</c:v>
                </c:pt>
                <c:pt idx="1">
                  <c:v>%EE x Δenergia</c:v>
                </c:pt>
                <c:pt idx="2">
                  <c:v>(%RI+%MT+%OC) x ΔIPCA</c:v>
                </c:pt>
              </c:strCache>
            </c:strRef>
          </c:cat>
          <c:val>
            <c:numRef>
              <c:f>('VPB 2026'!$F$11,'VPB 2026'!$F$12,'VPB 2026'!$F$13)</c:f>
              <c:numCache>
                <c:formatCode>0.00%</c:formatCode>
                <c:ptCount val="3"/>
                <c:pt idx="0">
                  <c:v>3.8978363652583115E-2</c:v>
                </c:pt>
                <c:pt idx="1">
                  <c:v>-0.12943530343805398</c:v>
                </c:pt>
                <c:pt idx="2">
                  <c:v>4.2643475811562581E-2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F-4981-88B0-6859E4E958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2643183"/>
        <c:axId val="1772966895"/>
      </c:barChart>
      <c:catAx>
        <c:axId val="1892643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2966895"/>
        <c:crosses val="autoZero"/>
        <c:auto val="1"/>
        <c:lblAlgn val="ctr"/>
        <c:lblOffset val="100"/>
        <c:noMultiLvlLbl val="0"/>
      </c:catAx>
      <c:valAx>
        <c:axId val="177296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92643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F - 2026'!A1"/><Relationship Id="rId13" Type="http://schemas.openxmlformats.org/officeDocument/2006/relationships/hyperlink" Target="#'Tarifas 2026'!A1"/><Relationship Id="rId3" Type="http://schemas.openxmlformats.org/officeDocument/2006/relationships/hyperlink" Target="#Par&#226;metros!A1"/><Relationship Id="rId7" Type="http://schemas.openxmlformats.org/officeDocument/2006/relationships/hyperlink" Target="#'RTA 2026'!A1"/><Relationship Id="rId12" Type="http://schemas.openxmlformats.org/officeDocument/2006/relationships/hyperlink" Target="#Volume_2025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#&#205;ndices_2025!A1"/><Relationship Id="rId11" Type="http://schemas.openxmlformats.org/officeDocument/2006/relationships/hyperlink" Target="#'VPA 2026'!A1"/><Relationship Id="rId5" Type="http://schemas.openxmlformats.org/officeDocument/2006/relationships/image" Target="../media/image4.svg"/><Relationship Id="rId10" Type="http://schemas.openxmlformats.org/officeDocument/2006/relationships/hyperlink" Target="#'VPB 2026'!A1"/><Relationship Id="rId4" Type="http://schemas.openxmlformats.org/officeDocument/2006/relationships/image" Target="../media/image3.png"/><Relationship Id="rId9" Type="http://schemas.openxmlformats.org/officeDocument/2006/relationships/hyperlink" Target="#'B&#244;nus-Desconto'!A1"/><Relationship Id="rId14" Type="http://schemas.openxmlformats.org/officeDocument/2006/relationships/hyperlink" Target="#'Outros CF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VPB 2026'!A1"/><Relationship Id="rId3" Type="http://schemas.openxmlformats.org/officeDocument/2006/relationships/image" Target="../media/image6.svg"/><Relationship Id="rId7" Type="http://schemas.openxmlformats.org/officeDocument/2006/relationships/hyperlink" Target="#'B&#244;nus-Desconto'!A1"/><Relationship Id="rId12" Type="http://schemas.openxmlformats.org/officeDocument/2006/relationships/hyperlink" Target="#'Outros CF'!A1"/><Relationship Id="rId2" Type="http://schemas.openxmlformats.org/officeDocument/2006/relationships/image" Target="../media/image5.png"/><Relationship Id="rId1" Type="http://schemas.openxmlformats.org/officeDocument/2006/relationships/hyperlink" Target="#F&#243;rmulas!A1"/><Relationship Id="rId6" Type="http://schemas.openxmlformats.org/officeDocument/2006/relationships/hyperlink" Target="#'CF - 2026'!A1"/><Relationship Id="rId11" Type="http://schemas.openxmlformats.org/officeDocument/2006/relationships/hyperlink" Target="#'Tarifas 2026'!A1"/><Relationship Id="rId5" Type="http://schemas.openxmlformats.org/officeDocument/2006/relationships/hyperlink" Target="#'RTA 2026'!A1"/><Relationship Id="rId10" Type="http://schemas.openxmlformats.org/officeDocument/2006/relationships/hyperlink" Target="#Volume_2025!A1"/><Relationship Id="rId4" Type="http://schemas.openxmlformats.org/officeDocument/2006/relationships/hyperlink" Target="#&#205;ndices_2025!A1"/><Relationship Id="rId9" Type="http://schemas.openxmlformats.org/officeDocument/2006/relationships/hyperlink" Target="#'VPA 2026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Volume_2025!A1"/><Relationship Id="rId3" Type="http://schemas.openxmlformats.org/officeDocument/2006/relationships/hyperlink" Target="#'RTA 2026'!A1"/><Relationship Id="rId7" Type="http://schemas.openxmlformats.org/officeDocument/2006/relationships/hyperlink" Target="#'VPA 2026'!A1"/><Relationship Id="rId2" Type="http://schemas.openxmlformats.org/officeDocument/2006/relationships/hyperlink" Target="#&#205;ndices_2025!A1"/><Relationship Id="rId1" Type="http://schemas.openxmlformats.org/officeDocument/2006/relationships/chart" Target="../charts/chart1.xml"/><Relationship Id="rId6" Type="http://schemas.openxmlformats.org/officeDocument/2006/relationships/hyperlink" Target="#'VPB 2026'!A1"/><Relationship Id="rId5" Type="http://schemas.openxmlformats.org/officeDocument/2006/relationships/hyperlink" Target="#'B&#244;nus-Desconto'!A1"/><Relationship Id="rId10" Type="http://schemas.openxmlformats.org/officeDocument/2006/relationships/hyperlink" Target="#'Outros CF'!A1"/><Relationship Id="rId4" Type="http://schemas.openxmlformats.org/officeDocument/2006/relationships/hyperlink" Target="#'CF - 2026'!A1"/><Relationship Id="rId9" Type="http://schemas.openxmlformats.org/officeDocument/2006/relationships/hyperlink" Target="#'Tarifas 202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Volume_2025!A1"/><Relationship Id="rId3" Type="http://schemas.openxmlformats.org/officeDocument/2006/relationships/hyperlink" Target="#'RTA 2026'!A1"/><Relationship Id="rId7" Type="http://schemas.openxmlformats.org/officeDocument/2006/relationships/hyperlink" Target="#'VPA 2026'!A1"/><Relationship Id="rId2" Type="http://schemas.openxmlformats.org/officeDocument/2006/relationships/hyperlink" Target="#&#205;ndices_2025!A1"/><Relationship Id="rId1" Type="http://schemas.openxmlformats.org/officeDocument/2006/relationships/chart" Target="../charts/chart2.xml"/><Relationship Id="rId6" Type="http://schemas.openxmlformats.org/officeDocument/2006/relationships/hyperlink" Target="#'VPB 2026'!A1"/><Relationship Id="rId5" Type="http://schemas.openxmlformats.org/officeDocument/2006/relationships/hyperlink" Target="#'B&#244;nus-Desconto'!A1"/><Relationship Id="rId10" Type="http://schemas.openxmlformats.org/officeDocument/2006/relationships/hyperlink" Target="#'Outros CF'!A1"/><Relationship Id="rId4" Type="http://schemas.openxmlformats.org/officeDocument/2006/relationships/hyperlink" Target="#'CF - 2026'!A1"/><Relationship Id="rId9" Type="http://schemas.openxmlformats.org/officeDocument/2006/relationships/hyperlink" Target="#'Tarifas 202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VPA 2026'!A1"/><Relationship Id="rId3" Type="http://schemas.openxmlformats.org/officeDocument/2006/relationships/hyperlink" Target="#&#205;ndices_2025!A1"/><Relationship Id="rId7" Type="http://schemas.openxmlformats.org/officeDocument/2006/relationships/hyperlink" Target="#'VPB 2026'!A1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hyperlink" Target="#'B&#244;nus-Desconto'!A1"/><Relationship Id="rId11" Type="http://schemas.openxmlformats.org/officeDocument/2006/relationships/hyperlink" Target="#'Outros CF'!A1"/><Relationship Id="rId5" Type="http://schemas.openxmlformats.org/officeDocument/2006/relationships/hyperlink" Target="#'CF - 2026'!A1"/><Relationship Id="rId10" Type="http://schemas.openxmlformats.org/officeDocument/2006/relationships/hyperlink" Target="#'Tarifas 2026'!A1"/><Relationship Id="rId4" Type="http://schemas.openxmlformats.org/officeDocument/2006/relationships/hyperlink" Target="#'RTA 2026'!A1"/><Relationship Id="rId9" Type="http://schemas.openxmlformats.org/officeDocument/2006/relationships/hyperlink" Target="#Volume_2025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6</xdr:row>
      <xdr:rowOff>14574</xdr:rowOff>
    </xdr:from>
    <xdr:to>
      <xdr:col>27</xdr:col>
      <xdr:colOff>304801</xdr:colOff>
      <xdr:row>11</xdr:row>
      <xdr:rowOff>85725</xdr:rowOff>
    </xdr:to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B09D8245-97FC-4C85-A3DB-112AD695FF2D}"/>
            </a:ext>
          </a:extLst>
        </xdr:cNvPr>
        <xdr:cNvSpPr txBox="1"/>
      </xdr:nvSpPr>
      <xdr:spPr>
        <a:xfrm>
          <a:off x="304801" y="1062324"/>
          <a:ext cx="16697325" cy="1023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Reajuste Tarifário Anual é</a:t>
          </a:r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um dos mecanismos de atualização do valor das</a:t>
          </a:r>
          <a: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tarifas de água</a:t>
          </a:r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paga pelo usuário, aplicado anualmente, conforme</a:t>
          </a:r>
          <a: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fórmula prevista no Contrato de</a:t>
          </a:r>
          <a: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Prestação de Serviços </a:t>
          </a:r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nº 001/2006-ADASA. A fórmula utilizada para a apuração do índice de reajuste tarifário busca preservar o poder aquisitivo da receita da empresa, que tende a ser impactado por pressões inflacionárias.</a:t>
          </a:r>
        </a:p>
        <a:p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FÓRMULAS:</a:t>
          </a:r>
        </a:p>
      </xdr:txBody>
    </xdr:sp>
    <xdr:clientData/>
  </xdr:twoCellAnchor>
  <xdr:oneCellAnchor>
    <xdr:from>
      <xdr:col>1</xdr:col>
      <xdr:colOff>153912</xdr:colOff>
      <xdr:row>11</xdr:row>
      <xdr:rowOff>150901</xdr:rowOff>
    </xdr:from>
    <xdr:ext cx="3390655" cy="5765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CaixaDeTexto 48">
              <a:extLst>
                <a:ext uri="{FF2B5EF4-FFF2-40B4-BE49-F238E27FC236}">
                  <a16:creationId xmlns:a16="http://schemas.microsoft.com/office/drawing/2014/main" id="{5EDA9356-A2CD-4157-9AF5-ECF34E2ED5E4}"/>
                </a:ext>
              </a:extLst>
            </xdr:cNvPr>
            <xdr:cNvSpPr txBox="1"/>
          </xdr:nvSpPr>
          <xdr:spPr>
            <a:xfrm>
              <a:off x="763512" y="2151151"/>
              <a:ext cx="3390655" cy="576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500" b="1" i="1">
                  <a:solidFill>
                    <a:sysClr val="windowText" lastClr="000000"/>
                  </a:solidFill>
                  <a:latin typeface="+mj-lt"/>
                </a:rPr>
                <a:t>IRT</a:t>
              </a:r>
              <a:r>
                <a:rPr lang="pt-BR" sz="15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r>
                    <a:rPr lang="pt-BR" sz="150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𝑻𝑨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𝑫𝑹𝑷</m:t>
                          </m:r>
                        </m:sub>
                      </m:sSub>
                      <m: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+ </m:t>
                      </m:r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𝑻𝑨</m:t>
                          </m:r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𝑩𝑫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𝑫𝑹𝑷</m:t>
                          </m:r>
                        </m:sub>
                      </m:sSub>
                      <m: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+ </m:t>
                      </m:r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𝑻𝑩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𝑫𝑹𝑷</m:t>
                          </m:r>
                        </m:sub>
                      </m:sSub>
                      <m: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+ </m:t>
                      </m:r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𝑻𝑭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𝑫𝑹𝑷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𝑻𝑨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𝑫𝑹𝑨</m:t>
                          </m:r>
                        </m:sub>
                      </m:sSub>
                      <m: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+ </m:t>
                      </m:r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sSub>
                            <m:sSubPr>
                              <m:ctrlPr>
                                <a:rPr lang="pt-BR" sz="1500" b="1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pt-BR" sz="1500" b="1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  <m:t>𝑻𝑨</m:t>
                              </m:r>
                              <m:r>
                                <a:rPr lang="pt-BR" sz="1500" b="1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  <m:t>−</m:t>
                              </m:r>
                              <m:r>
                                <a:rPr lang="pt-BR" sz="1500" b="1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  <m:t>𝑩𝑫</m:t>
                              </m:r>
                            </m:e>
                            <m:sub>
                              <m:r>
                                <a:rPr lang="pt-BR" sz="1500" b="1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  <m:t>𝑫𝑹𝑨</m:t>
                              </m:r>
                            </m:sub>
                          </m:s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+ </m:t>
                          </m:r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𝑻𝑩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𝑫𝑹𝑨</m:t>
                          </m:r>
                        </m:sub>
                      </m:sSub>
                      <m: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+ </m:t>
                      </m:r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𝑻𝑭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𝑫𝑹𝑨</m:t>
                          </m:r>
                        </m:sub>
                      </m:sSub>
                    </m:den>
                  </m:f>
                </m:oMath>
              </a14:m>
              <a:endParaRPr lang="pt-BR" sz="1500" b="1">
                <a:solidFill>
                  <a:schemeClr val="tx2"/>
                </a:solidFill>
              </a:endParaRPr>
            </a:p>
          </xdr:txBody>
        </xdr:sp>
      </mc:Choice>
      <mc:Fallback xmlns="">
        <xdr:sp macro="" textlink="">
          <xdr:nvSpPr>
            <xdr:cNvPr id="49" name="CaixaDeTexto 48">
              <a:extLst>
                <a:ext uri="{FF2B5EF4-FFF2-40B4-BE49-F238E27FC236}">
                  <a16:creationId xmlns:a16="http://schemas.microsoft.com/office/drawing/2014/main" id="{5EDA9356-A2CD-4157-9AF5-ECF34E2ED5E4}"/>
                </a:ext>
              </a:extLst>
            </xdr:cNvPr>
            <xdr:cNvSpPr txBox="1"/>
          </xdr:nvSpPr>
          <xdr:spPr>
            <a:xfrm>
              <a:off x="763512" y="2151151"/>
              <a:ext cx="3390655" cy="576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500" b="1" i="1">
                  <a:solidFill>
                    <a:sysClr val="windowText" lastClr="000000"/>
                  </a:solidFill>
                  <a:latin typeface="+mj-lt"/>
                </a:rPr>
                <a:t>IRT</a:t>
              </a:r>
              <a:r>
                <a:rPr lang="pt-BR" sz="15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5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  (〖𝑻𝑨〗_𝑫𝑹𝑷  + 〖𝑻𝑨−𝑩𝑫〗_𝑫𝑹𝑷+ 〖𝑻𝑩〗_𝑫𝑹𝑷  + 〖𝑻𝑭〗_𝑫𝑹𝑷)/(〖𝑻𝑨〗_𝑫𝑹𝑨  + 〖〖𝑻𝑨−𝑩𝑫〗_𝑫𝑹𝑨+ 𝑻𝑩〗_𝑫𝑹𝑨  + 〖𝑻𝑭〗_𝑫𝑹𝑨 )</a:t>
              </a:r>
              <a:endParaRPr lang="pt-BR" sz="1500" b="1">
                <a:solidFill>
                  <a:schemeClr val="tx2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130175</xdr:colOff>
      <xdr:row>30</xdr:row>
      <xdr:rowOff>87500</xdr:rowOff>
    </xdr:from>
    <xdr:ext cx="184150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CaixaDeTexto 64">
              <a:extLst>
                <a:ext uri="{FF2B5EF4-FFF2-40B4-BE49-F238E27FC236}">
                  <a16:creationId xmlns:a16="http://schemas.microsoft.com/office/drawing/2014/main" id="{25454923-7F8F-491F-8617-3A345CFA8B48}"/>
                </a:ext>
              </a:extLst>
            </xdr:cNvPr>
            <xdr:cNvSpPr txBox="1"/>
          </xdr:nvSpPr>
          <xdr:spPr>
            <a:xfrm>
              <a:off x="739775" y="5707250"/>
              <a:ext cx="184150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chemeClr val="tx2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𝑻𝑨</m:t>
                      </m:r>
                    </m:e>
                    <m:sub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𝑫𝑹𝑷</m:t>
                      </m:r>
                    </m:sub>
                  </m:sSub>
                  <m:r>
                    <a:rPr lang="pt-BR" sz="13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pt-BR" sz="135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35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𝑽𝑷𝑨</m:t>
                          </m:r>
                        </m:e>
                        <m:sub>
                          <m:r>
                            <a:rPr lang="pt-BR" sz="135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𝑫𝑹𝑷</m:t>
                          </m:r>
                        </m:sub>
                      </m:sSub>
                    </m:num>
                    <m:den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𝑴𝑹</m:t>
                      </m:r>
                    </m:den>
                  </m:f>
                </m:oMath>
              </a14:m>
              <a:endParaRPr lang="pt-BR" sz="1350" b="1">
                <a:solidFill>
                  <a:schemeClr val="tx2"/>
                </a:solidFill>
              </a:endParaRPr>
            </a:p>
          </xdr:txBody>
        </xdr:sp>
      </mc:Choice>
      <mc:Fallback xmlns="">
        <xdr:sp macro="" textlink="">
          <xdr:nvSpPr>
            <xdr:cNvPr id="65" name="CaixaDeTexto 64">
              <a:extLst>
                <a:ext uri="{FF2B5EF4-FFF2-40B4-BE49-F238E27FC236}">
                  <a16:creationId xmlns:a16="http://schemas.microsoft.com/office/drawing/2014/main" id="{25454923-7F8F-491F-8617-3A345CFA8B48}"/>
                </a:ext>
              </a:extLst>
            </xdr:cNvPr>
            <xdr:cNvSpPr txBox="1"/>
          </xdr:nvSpPr>
          <xdr:spPr>
            <a:xfrm>
              <a:off x="739775" y="5707250"/>
              <a:ext cx="184150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chemeClr val="tx2"/>
                  </a:solidFill>
                  <a:latin typeface="+mn-lt"/>
                </a:rPr>
                <a:t> </a:t>
              </a:r>
              <a:r>
                <a:rPr lang="pt-BR" sz="135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〖𝑻𝑨〗_𝑫𝑹𝑷=  〖𝑽𝑷𝑨〗_𝑫𝑹𝑷/𝑴𝑹</a:t>
              </a:r>
              <a:endParaRPr lang="pt-BR" sz="1350" b="1">
                <a:solidFill>
                  <a:schemeClr val="tx2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288925</xdr:colOff>
      <xdr:row>31</xdr:row>
      <xdr:rowOff>33051</xdr:rowOff>
    </xdr:from>
    <xdr:ext cx="587375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CaixaDeTexto 65">
              <a:extLst>
                <a:ext uri="{FF2B5EF4-FFF2-40B4-BE49-F238E27FC236}">
                  <a16:creationId xmlns:a16="http://schemas.microsoft.com/office/drawing/2014/main" id="{701CDF05-982A-40F9-90AB-EFE97ABCB484}"/>
                </a:ext>
              </a:extLst>
            </xdr:cNvPr>
            <xdr:cNvSpPr txBox="1"/>
          </xdr:nvSpPr>
          <xdr:spPr>
            <a:xfrm>
              <a:off x="3336925" y="5843301"/>
              <a:ext cx="587375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𝑽𝑷𝑨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𝑫𝑹𝑷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</a:rPr>
                <a:t>: Valor</a:t>
              </a:r>
              <a:r>
                <a:rPr lang="pt-BR" sz="1000" b="0" i="1" baseline="0">
                  <a:solidFill>
                    <a:sysClr val="windowText" lastClr="000000"/>
                  </a:solidFill>
                </a:rPr>
                <a:t>, em reais, dos componentes da Parcela A na DRP, cuja metodologia de apuração será estabelecida pela ADASA por meio de regulamentação específica.</a:t>
              </a:r>
              <a:endParaRPr lang="pt-BR" sz="1000" b="0" i="1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66" name="CaixaDeTexto 65">
              <a:extLst>
                <a:ext uri="{FF2B5EF4-FFF2-40B4-BE49-F238E27FC236}">
                  <a16:creationId xmlns:a16="http://schemas.microsoft.com/office/drawing/2014/main" id="{701CDF05-982A-40F9-90AB-EFE97ABCB484}"/>
                </a:ext>
              </a:extLst>
            </xdr:cNvPr>
            <xdr:cNvSpPr txBox="1"/>
          </xdr:nvSpPr>
          <xdr:spPr>
            <a:xfrm>
              <a:off x="3336925" y="5843301"/>
              <a:ext cx="587375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〖𝑽𝑷𝑨〗_𝑫𝑹𝑷  </a:t>
              </a:r>
              <a:r>
                <a:rPr lang="pt-BR" sz="1000" b="0" i="1">
                  <a:solidFill>
                    <a:sysClr val="windowText" lastClr="000000"/>
                  </a:solidFill>
                </a:rPr>
                <a:t>: Valor</a:t>
              </a:r>
              <a:r>
                <a:rPr lang="pt-BR" sz="1000" b="0" i="1" baseline="0">
                  <a:solidFill>
                    <a:sysClr val="windowText" lastClr="000000"/>
                  </a:solidFill>
                </a:rPr>
                <a:t>, em reais, dos componentes da Parcela A na DRP, cuja metodologia de apuração será estabelecida pela ADASA por meio de regulamentação específica.</a:t>
              </a:r>
              <a:endParaRPr lang="pt-BR" sz="1000" b="0" i="1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92074</xdr:colOff>
      <xdr:row>35</xdr:row>
      <xdr:rowOff>156876</xdr:rowOff>
    </xdr:from>
    <xdr:ext cx="2910418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CaixaDeTexto 69">
              <a:extLst>
                <a:ext uri="{FF2B5EF4-FFF2-40B4-BE49-F238E27FC236}">
                  <a16:creationId xmlns:a16="http://schemas.microsoft.com/office/drawing/2014/main" id="{487CF8CD-570F-4D19-B73D-2B51F51870B9}"/>
                </a:ext>
              </a:extLst>
            </xdr:cNvPr>
            <xdr:cNvSpPr txBox="1"/>
          </xdr:nvSpPr>
          <xdr:spPr>
            <a:xfrm>
              <a:off x="701674" y="6729126"/>
              <a:ext cx="2910418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chemeClr val="tx2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𝑻𝑩</m:t>
                      </m:r>
                    </m:e>
                    <m:sub>
                      <m: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𝑫𝑹𝑷</m:t>
                      </m:r>
                    </m:sub>
                  </m:sSub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 </m:t>
                  </m:r>
                  <m:sSub>
                    <m:sSubPr>
                      <m:ctrlP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𝑻𝑩</m:t>
                      </m:r>
                    </m:e>
                    <m:sub>
                      <m: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𝑫𝑹𝑨</m:t>
                      </m:r>
                      <m: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</m:sub>
                  </m:sSub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×(</m:t>
                  </m:r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𝑰𝒓𝑩</m:t>
                  </m:r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−</m:t>
                  </m:r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𝑿</m:t>
                  </m:r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)</m:t>
                  </m:r>
                </m:oMath>
              </a14:m>
              <a:endParaRPr lang="pt-BR" sz="1150" b="1">
                <a:solidFill>
                  <a:schemeClr val="tx2"/>
                </a:solidFill>
              </a:endParaRPr>
            </a:p>
          </xdr:txBody>
        </xdr:sp>
      </mc:Choice>
      <mc:Fallback xmlns="">
        <xdr:sp macro="" textlink="">
          <xdr:nvSpPr>
            <xdr:cNvPr id="70" name="CaixaDeTexto 69">
              <a:extLst>
                <a:ext uri="{FF2B5EF4-FFF2-40B4-BE49-F238E27FC236}">
                  <a16:creationId xmlns:a16="http://schemas.microsoft.com/office/drawing/2014/main" id="{487CF8CD-570F-4D19-B73D-2B51F51870B9}"/>
                </a:ext>
              </a:extLst>
            </xdr:cNvPr>
            <xdr:cNvSpPr txBox="1"/>
          </xdr:nvSpPr>
          <xdr:spPr>
            <a:xfrm>
              <a:off x="701674" y="6729126"/>
              <a:ext cx="2910418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chemeClr val="tx2"/>
                  </a:solidFill>
                  <a:latin typeface="+mn-lt"/>
                </a:rPr>
                <a:t> </a:t>
              </a:r>
              <a:r>
                <a:rPr lang="pt-BR" sz="115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〖𝑻𝑩〗_𝑫𝑹𝑷= 〖𝑻𝑩〗_(𝑫𝑹𝑨 )</a:t>
              </a:r>
              <a:r>
                <a:rPr lang="pt-BR" sz="115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×(𝑰𝒓𝑩 −𝑿)</a:t>
              </a:r>
              <a:endParaRPr lang="pt-BR" sz="1150" b="1">
                <a:solidFill>
                  <a:schemeClr val="tx2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250825</xdr:colOff>
      <xdr:row>35</xdr:row>
      <xdr:rowOff>175926</xdr:rowOff>
    </xdr:from>
    <xdr:ext cx="5807075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CaixaDeTexto 70">
              <a:extLst>
                <a:ext uri="{FF2B5EF4-FFF2-40B4-BE49-F238E27FC236}">
                  <a16:creationId xmlns:a16="http://schemas.microsoft.com/office/drawing/2014/main" id="{232A43D8-EA81-4193-817E-FC9A02C09E68}"/>
                </a:ext>
              </a:extLst>
            </xdr:cNvPr>
            <xdr:cNvSpPr txBox="1"/>
          </xdr:nvSpPr>
          <xdr:spPr>
            <a:xfrm>
              <a:off x="3298825" y="6748176"/>
              <a:ext cx="580707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000" b="1" i="1" baseline="0">
                  <a:solidFill>
                    <a:sysClr val="windowText" lastClr="000000"/>
                  </a:solidFill>
                  <a:latin typeface="+mj-lt"/>
                </a:rPr>
                <a:t>IrB</a:t>
              </a:r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r>
                    <a:rPr lang="pt-BR" sz="100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</m:t>
                  </m:r>
                  <m:d>
                    <m:d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%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𝑷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∆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𝑰𝑵𝑷𝑪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</m:e>
                  </m:d>
                  <m:r>
                    <a:rPr lang="pt-BR" sz="100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+</m:t>
                  </m:r>
                  <m:d>
                    <m:d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d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%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𝑬𝑬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×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∆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𝑬𝑵𝑬𝑹𝑮𝑰𝑨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</m:sub>
                      </m:sSub>
                    </m:e>
                  </m:d>
                  <m:r>
                    <a:rPr lang="pt-BR" sz="1000" b="1" i="0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+</m:t>
                  </m:r>
                  <m:d>
                    <m:d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%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𝑴𝑻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×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∆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𝑰𝑷𝑪𝑨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</m:sub>
                      </m:sSub>
                    </m:e>
                  </m:d>
                  <m:r>
                    <a:rPr lang="pt-BR" sz="100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d>
                    <m:d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%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𝑹𝑰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×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∆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𝑰𝑷𝑪𝑨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</m:sub>
                      </m:sSub>
                    </m:e>
                  </m:d>
                  <m:r>
                    <a:rPr lang="pt-BR" sz="100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(%</m:t>
                  </m:r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𝑶𝑪</m:t>
                  </m:r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∆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𝑰𝑷𝑪𝑨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)</m:t>
                  </m:r>
                </m:oMath>
              </a14:m>
              <a:endParaRPr lang="pt-BR" sz="1000" b="1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71" name="CaixaDeTexto 70">
              <a:extLst>
                <a:ext uri="{FF2B5EF4-FFF2-40B4-BE49-F238E27FC236}">
                  <a16:creationId xmlns:a16="http://schemas.microsoft.com/office/drawing/2014/main" id="{232A43D8-EA81-4193-817E-FC9A02C09E68}"/>
                </a:ext>
              </a:extLst>
            </xdr:cNvPr>
            <xdr:cNvSpPr txBox="1"/>
          </xdr:nvSpPr>
          <xdr:spPr>
            <a:xfrm>
              <a:off x="3298825" y="6748176"/>
              <a:ext cx="580707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000" b="1" i="1" baseline="0">
                  <a:solidFill>
                    <a:sysClr val="windowText" lastClr="000000"/>
                  </a:solidFill>
                  <a:latin typeface="+mj-lt"/>
                </a:rPr>
                <a:t>IrB</a:t>
              </a:r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=(%𝑷</a:t>
              </a: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×∆_(𝑰𝑵𝑷𝑪</a:t>
              </a: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 ) )+</a:t>
              </a: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</a:t>
              </a: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%𝑬𝑬×∆_(𝑬𝑵𝑬𝑹𝑮𝑰𝑨 ) )</a:t>
              </a: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+</a:t>
              </a: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(%𝑴𝑻×∆_(𝑰𝑷𝑪𝑨 ) )+(%𝑹𝑰×∆_(𝑰𝑷𝑪𝑨 ) )+(%𝑶𝑪×∆_(𝑰𝑷𝑪𝑨 ))</a:t>
              </a:r>
              <a:endParaRPr lang="pt-BR" sz="1000" b="1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104775</xdr:colOff>
      <xdr:row>42</xdr:row>
      <xdr:rowOff>71151</xdr:rowOff>
    </xdr:from>
    <xdr:ext cx="184150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CaixaDeTexto 77">
              <a:extLst>
                <a:ext uri="{FF2B5EF4-FFF2-40B4-BE49-F238E27FC236}">
                  <a16:creationId xmlns:a16="http://schemas.microsoft.com/office/drawing/2014/main" id="{57A79926-49C1-4E0A-9DE1-0A81DD206BA3}"/>
                </a:ext>
              </a:extLst>
            </xdr:cNvPr>
            <xdr:cNvSpPr txBox="1"/>
          </xdr:nvSpPr>
          <xdr:spPr>
            <a:xfrm>
              <a:off x="714375" y="7976901"/>
              <a:ext cx="184150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35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𝑻𝑭</m:t>
                      </m:r>
                    </m:e>
                    <m:sub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𝑫𝑹𝑷</m:t>
                      </m:r>
                    </m:sub>
                  </m:sSub>
                  <m:r>
                    <a:rPr lang="pt-BR" sz="13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𝑪𝑭</m:t>
                      </m:r>
                    </m:num>
                    <m:den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𝑴𝑹</m:t>
                      </m:r>
                    </m:den>
                  </m:f>
                </m:oMath>
              </a14:m>
              <a:endParaRPr lang="pt-BR" sz="1350" b="1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78" name="CaixaDeTexto 77">
              <a:extLst>
                <a:ext uri="{FF2B5EF4-FFF2-40B4-BE49-F238E27FC236}">
                  <a16:creationId xmlns:a16="http://schemas.microsoft.com/office/drawing/2014/main" id="{57A79926-49C1-4E0A-9DE1-0A81DD206BA3}"/>
                </a:ext>
              </a:extLst>
            </xdr:cNvPr>
            <xdr:cNvSpPr txBox="1"/>
          </xdr:nvSpPr>
          <xdr:spPr>
            <a:xfrm>
              <a:off x="714375" y="7976901"/>
              <a:ext cx="184150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35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35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〖𝑻𝑭〗_𝑫𝑹𝑷=  𝑪𝑭/𝑴𝑹</a:t>
              </a:r>
              <a:endParaRPr lang="pt-BR" sz="1350" b="1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197464</xdr:colOff>
      <xdr:row>42</xdr:row>
      <xdr:rowOff>80676</xdr:rowOff>
    </xdr:from>
    <xdr:ext cx="3212486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9" name="CaixaDeTexto 78">
              <a:extLst>
                <a:ext uri="{FF2B5EF4-FFF2-40B4-BE49-F238E27FC236}">
                  <a16:creationId xmlns:a16="http://schemas.microsoft.com/office/drawing/2014/main" id="{336D934F-FD61-451A-B150-5B269267605A}"/>
                </a:ext>
              </a:extLst>
            </xdr:cNvPr>
            <xdr:cNvSpPr txBox="1"/>
          </xdr:nvSpPr>
          <xdr:spPr>
            <a:xfrm>
              <a:off x="3245464" y="7986426"/>
              <a:ext cx="3212486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𝑪𝑭</m:t>
                  </m:r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nary>
                    <m:naryPr>
                      <m:chr m:val="∑"/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𝒊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</m:sub>
                    <m:sup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𝟏𝟐</m:t>
                      </m:r>
                    </m:sup>
                    <m:e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𝑪𝑷𝑨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𝒊</m:t>
                          </m:r>
                        </m:sub>
                      </m:s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− 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𝑽𝑷𝑨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𝒊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</m:sub>
                      </m:s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 × 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𝑰𝑷𝑪𝑨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𝒊𝑫𝑹𝑷</m:t>
                          </m:r>
                        </m:sub>
                      </m:sSub>
                    </m:e>
                  </m:nary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endParaRPr lang="pt-BR" sz="1000" b="1" i="1">
                <a:solidFill>
                  <a:sysClr val="windowText" lastClr="000000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79" name="CaixaDeTexto 78">
              <a:extLst>
                <a:ext uri="{FF2B5EF4-FFF2-40B4-BE49-F238E27FC236}">
                  <a16:creationId xmlns:a16="http://schemas.microsoft.com/office/drawing/2014/main" id="{336D934F-FD61-451A-B150-5B269267605A}"/>
                </a:ext>
              </a:extLst>
            </xdr:cNvPr>
            <xdr:cNvSpPr txBox="1"/>
          </xdr:nvSpPr>
          <xdr:spPr>
            <a:xfrm>
              <a:off x="3245464" y="7986426"/>
              <a:ext cx="3212486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𝑪𝑭=∑_(𝒊=𝟏)^𝟏𝟐▒〖〖(𝑪𝑷𝑨〗_𝒊  − 〖𝑽𝑷𝑨〗_(𝒊 )) × 〖𝑰𝑷𝑪𝑨〗_𝒊𝑫𝑹𝑷 〗  </a:t>
              </a:r>
              <a:endParaRPr lang="pt-BR" sz="1000" b="1" i="1">
                <a:solidFill>
                  <a:sysClr val="windowText" lastClr="000000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206620</xdr:colOff>
      <xdr:row>44</xdr:row>
      <xdr:rowOff>80676</xdr:rowOff>
    </xdr:from>
    <xdr:ext cx="5893464" cy="14052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CaixaDeTexto 80">
              <a:extLst>
                <a:ext uri="{FF2B5EF4-FFF2-40B4-BE49-F238E27FC236}">
                  <a16:creationId xmlns:a16="http://schemas.microsoft.com/office/drawing/2014/main" id="{1406ADBA-09B1-4287-8698-D609264FF229}"/>
                </a:ext>
              </a:extLst>
            </xdr:cNvPr>
            <xdr:cNvSpPr txBox="1"/>
          </xdr:nvSpPr>
          <xdr:spPr>
            <a:xfrm>
              <a:off x="3254620" y="8367426"/>
              <a:ext cx="5893464" cy="14052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𝑪𝑷𝑨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𝒊</m:t>
                      </m:r>
                    </m:sub>
                  </m:sSub>
                </m:oMath>
              </a14:m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Cambria Math" panose="02040503050406030204" pitchFamily="18" charset="0"/>
                  <a:cs typeface="+mn-cs"/>
                </a:rPr>
                <a:t>: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custos da Prestadora, em reais, referentes aos itens da Parcela A incorridos no mês (i) do Período de Referência;</a:t>
              </a:r>
            </a:p>
            <a:p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𝑽𝑷𝑨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𝒊</m:t>
                      </m:r>
                    </m:sub>
                  </m:sSub>
                </m:oMath>
              </a14:m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valor, em reais, da receita da Prestadora correspondente à Parcela A, no mês (i) do Período de Referência, ou seja,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𝑉𝑃𝐴</m:t>
                      </m:r>
                    </m:e>
                    <m:sub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  <m:r>
                    <a:rPr lang="pt-BR" sz="1000" b="0" i="1" baseline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 </m:t>
                  </m:r>
                  <m:sSub>
                    <m:sSubPr>
                      <m:ctrlP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𝑇𝐴</m:t>
                      </m:r>
                    </m:e>
                    <m:sub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𝐷𝑅𝐴</m:t>
                      </m:r>
                    </m:sub>
                  </m:sSub>
                  <m:r>
                    <a:rPr lang="pt-BR" sz="1000" b="0" i="1" baseline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 </m:t>
                  </m:r>
                  <m:sSub>
                    <m:sSubPr>
                      <m:ctrlP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sSubPr>
                    <m:e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𝑀𝑅</m:t>
                      </m:r>
                    </m:e>
                    <m:sub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𝑖</m:t>
                      </m:r>
                    </m:sub>
                  </m:sSub>
                  <m:r>
                    <a:rPr lang="pt-BR" sz="1000" b="0" i="1" baseline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;</m:t>
                  </m:r>
                </m:oMath>
              </a14:m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𝑰𝑷𝑪𝑨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𝒊𝑫𝑹𝑷</m:t>
                      </m:r>
                    </m:sub>
                  </m:sSub>
                </m:oMath>
              </a14:m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variação do Índice Nacional de Preços ao Consumidor Amplo - IPCA, do mês (i) até o mês de dezembro do Período de Referência.</a:t>
              </a:r>
              <a:endParaRPr lang="pt-BR" sz="1000">
                <a:solidFill>
                  <a:sysClr val="windowText" lastClr="000000"/>
                </a:solidFill>
                <a:effectLst/>
              </a:endParaRPr>
            </a:p>
            <a:p>
              <a:endParaRPr lang="pt-BR" sz="900" b="0" i="1" baseline="0">
                <a:solidFill>
                  <a:schemeClr val="accent1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1" name="CaixaDeTexto 80">
              <a:extLst>
                <a:ext uri="{FF2B5EF4-FFF2-40B4-BE49-F238E27FC236}">
                  <a16:creationId xmlns:a16="http://schemas.microsoft.com/office/drawing/2014/main" id="{1406ADBA-09B1-4287-8698-D609264FF229}"/>
                </a:ext>
              </a:extLst>
            </xdr:cNvPr>
            <xdr:cNvSpPr txBox="1"/>
          </xdr:nvSpPr>
          <xdr:spPr>
            <a:xfrm>
              <a:off x="3254620" y="8367426"/>
              <a:ext cx="5893464" cy="14052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〖𝑪𝑷𝑨〗_𝒊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Cambria Math" panose="02040503050406030204" pitchFamily="18" charset="0"/>
                  <a:cs typeface="+mn-cs"/>
                </a:rPr>
                <a:t>: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custos da Prestadora, em reais, referentes aos itens da Parcela A incorridos no mês (i) do Período de Referência;</a:t>
              </a:r>
            </a:p>
            <a:p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〖𝑽𝑷𝑨〗_𝒊</a:t>
              </a:r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valor, em reais, da receita da Prestadora correspondente à Parcela A, no mês (i) do Período de Referência, ou seja, </a:t>
              </a:r>
              <a:r>
                <a:rPr lang="pt-BR" sz="1000" b="0" i="0" baseline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〖𝑉𝑃𝐴〗_𝑖= 〖𝑇𝐴〗_𝐷𝑅𝐴</a:t>
              </a:r>
              <a:r>
                <a:rPr lang="pt-BR" sz="1000" b="0" i="0" baseline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 〖𝑀𝑅〗_𝑖;</a:t>
              </a:r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〖𝑰𝑷𝑪𝑨〗_𝒊𝑫𝑹𝑷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variação do Índice Nacional de Preços ao Consumidor Amplo - IPCA, do mês (i) até o mês de dezembro do Período de Referência.</a:t>
              </a:r>
              <a:endParaRPr lang="pt-BR" sz="1000">
                <a:solidFill>
                  <a:sysClr val="windowText" lastClr="000000"/>
                </a:solidFill>
                <a:effectLst/>
              </a:endParaRPr>
            </a:p>
            <a:p>
              <a:endParaRPr lang="pt-BR" sz="900" b="0" i="1" baseline="0">
                <a:solidFill>
                  <a:schemeClr val="accent1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 editAs="oneCell">
    <xdr:from>
      <xdr:col>0</xdr:col>
      <xdr:colOff>438150</xdr:colOff>
      <xdr:row>3</xdr:row>
      <xdr:rowOff>76200</xdr:rowOff>
    </xdr:from>
    <xdr:to>
      <xdr:col>1</xdr:col>
      <xdr:colOff>114300</xdr:colOff>
      <xdr:row>4</xdr:row>
      <xdr:rowOff>171450</xdr:rowOff>
    </xdr:to>
    <xdr:pic>
      <xdr:nvPicPr>
        <xdr:cNvPr id="3" name="Gráfico 2" descr="Informações">
          <a:extLst>
            <a:ext uri="{FF2B5EF4-FFF2-40B4-BE49-F238E27FC236}">
              <a16:creationId xmlns:a16="http://schemas.microsoft.com/office/drawing/2014/main" id="{66AB6D2A-2C10-424D-BD04-EDFAAB77A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8150" y="49530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590549</xdr:colOff>
      <xdr:row>3</xdr:row>
      <xdr:rowOff>66676</xdr:rowOff>
    </xdr:from>
    <xdr:to>
      <xdr:col>2</xdr:col>
      <xdr:colOff>304799</xdr:colOff>
      <xdr:row>4</xdr:row>
      <xdr:rowOff>200026</xdr:rowOff>
    </xdr:to>
    <xdr:pic>
      <xdr:nvPicPr>
        <xdr:cNvPr id="5" name="Gráfico 4" descr="Calendário diár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4192D9-F3A0-4BBF-BCBA-78E19A876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00149" y="485776"/>
          <a:ext cx="323850" cy="323850"/>
        </a:xfrm>
        <a:prstGeom prst="rect">
          <a:avLst/>
        </a:prstGeom>
      </xdr:spPr>
    </xdr:pic>
    <xdr:clientData/>
  </xdr:twoCellAnchor>
  <xdr:oneCellAnchor>
    <xdr:from>
      <xdr:col>5</xdr:col>
      <xdr:colOff>266700</xdr:colOff>
      <xdr:row>37</xdr:row>
      <xdr:rowOff>95250</xdr:rowOff>
    </xdr:from>
    <xdr:ext cx="5524500" cy="885825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BD9E1E47-5C96-4518-B291-CCF2DB993042}"/>
            </a:ext>
          </a:extLst>
        </xdr:cNvPr>
        <xdr:cNvSpPr txBox="1"/>
      </xdr:nvSpPr>
      <xdr:spPr>
        <a:xfrm>
          <a:off x="3314700" y="7048500"/>
          <a:ext cx="5524500" cy="885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pt-BR" sz="1000" b="0" i="1" baseline="0">
              <a:solidFill>
                <a:sysClr val="windowText" lastClr="000000"/>
              </a:solidFill>
              <a:latin typeface="+mn-lt"/>
            </a:rPr>
            <a:t>% P x </a:t>
          </a:r>
          <a:r>
            <a:rPr lang="el-GR" sz="1000" b="0" i="1" baseline="0">
              <a:solidFill>
                <a:sysClr val="windowText" lastClr="000000"/>
              </a:solidFill>
              <a:latin typeface="+mn-lt"/>
            </a:rPr>
            <a:t>Δ </a:t>
          </a:r>
          <a:r>
            <a:rPr lang="pt-BR" sz="1000" b="0" i="1" baseline="0">
              <a:solidFill>
                <a:sysClr val="windowText" lastClr="000000"/>
              </a:solidFill>
              <a:latin typeface="+mn-lt"/>
            </a:rPr>
            <a:t>INPC = Proporção dos custos de pessoal multiplicado pela variação do INPC</a:t>
          </a:r>
        </a:p>
        <a:p>
          <a:r>
            <a:rPr lang="pt-BR" sz="1000" b="0" i="1" baseline="0">
              <a:solidFill>
                <a:sysClr val="windowText" lastClr="000000"/>
              </a:solidFill>
              <a:latin typeface="+mn-lt"/>
            </a:rPr>
            <a:t>% EE x </a:t>
          </a:r>
          <a:r>
            <a:rPr lang="el-GR" sz="1000" b="0" i="1" baseline="0">
              <a:solidFill>
                <a:sysClr val="windowText" lastClr="000000"/>
              </a:solidFill>
              <a:latin typeface="+mn-lt"/>
            </a:rPr>
            <a:t>Δ </a:t>
          </a:r>
          <a:r>
            <a:rPr lang="pt-BR" sz="1000" b="0" i="1" baseline="0">
              <a:solidFill>
                <a:sysClr val="windowText" lastClr="000000"/>
              </a:solidFill>
              <a:latin typeface="+mn-lt"/>
            </a:rPr>
            <a:t>energia = Proporção dos custos energia elétrica multiplicado pela variação do índice de energia</a:t>
          </a:r>
        </a:p>
        <a:p>
          <a:r>
            <a:rPr lang="pt-BR" sz="1000" b="0" i="1">
              <a:solidFill>
                <a:sysClr val="windowText" lastClr="000000"/>
              </a:solidFill>
            </a:rPr>
            <a:t>% MT x </a:t>
          </a:r>
          <a:r>
            <a:rPr lang="el-GR" sz="10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Δ </a:t>
          </a:r>
          <a:r>
            <a:rPr lang="pt-BR" sz="10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IPCA </a:t>
          </a:r>
          <a:r>
            <a:rPr lang="pt-BR" sz="1000" b="0" i="1">
              <a:solidFill>
                <a:sysClr val="windowText" lastClr="000000"/>
              </a:solidFill>
            </a:rPr>
            <a:t>= Proporção dos custos de material de tratamento multiplicado pela variação do IPCA</a:t>
          </a:r>
        </a:p>
        <a:p>
          <a:r>
            <a:rPr lang="pt-BR" sz="1000" b="0" i="1">
              <a:solidFill>
                <a:sysClr val="windowText" lastClr="000000"/>
              </a:solidFill>
            </a:rPr>
            <a:t>% RI x </a:t>
          </a:r>
          <a:r>
            <a:rPr lang="el-GR" sz="10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Δ </a:t>
          </a:r>
          <a:r>
            <a:rPr lang="pt-BR" sz="10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IPCA </a:t>
          </a:r>
          <a:r>
            <a:rPr lang="pt-BR" sz="1000" b="0" i="1">
              <a:solidFill>
                <a:sysClr val="windowText" lastClr="000000"/>
              </a:solidFill>
            </a:rPr>
            <a:t>= Proporção da remuneração dos investimentos multiplicado pela variação do IPCA</a:t>
          </a:r>
        </a:p>
        <a:p>
          <a:r>
            <a:rPr lang="pt-BR" sz="1000" b="0" i="1">
              <a:solidFill>
                <a:sysClr val="windowText" lastClr="000000"/>
              </a:solidFill>
            </a:rPr>
            <a:t>% OC x </a:t>
          </a:r>
          <a:r>
            <a:rPr lang="el-GR" sz="1000" b="0" i="1">
              <a:solidFill>
                <a:sysClr val="windowText" lastClr="000000"/>
              </a:solidFill>
            </a:rPr>
            <a:t>Δ </a:t>
          </a:r>
          <a:r>
            <a:rPr lang="pt-BR" sz="1000" b="0" i="1">
              <a:solidFill>
                <a:sysClr val="windowText" lastClr="000000"/>
              </a:solidFill>
            </a:rPr>
            <a:t>IPCA = Proporção de outros custos multiplicado pela variação do IPCA</a:t>
          </a:r>
        </a:p>
      </xdr:txBody>
    </xdr:sp>
    <xdr:clientData/>
  </xdr:oneCellAnchor>
  <xdr:oneCellAnchor>
    <xdr:from>
      <xdr:col>5</xdr:col>
      <xdr:colOff>323849</xdr:colOff>
      <xdr:row>15</xdr:row>
      <xdr:rowOff>95251</xdr:rowOff>
    </xdr:from>
    <xdr:ext cx="5381626" cy="2590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CaixaDeTexto 31">
              <a:extLst>
                <a:ext uri="{FF2B5EF4-FFF2-40B4-BE49-F238E27FC236}">
                  <a16:creationId xmlns:a16="http://schemas.microsoft.com/office/drawing/2014/main" id="{D14FAA3C-81E6-4044-969E-8908E3C4206A}"/>
                </a:ext>
              </a:extLst>
            </xdr:cNvPr>
            <xdr:cNvSpPr txBox="1"/>
          </xdr:nvSpPr>
          <xdr:spPr>
            <a:xfrm>
              <a:off x="3371849" y="2857501"/>
              <a:ext cx="5381626" cy="2590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𝑻𝑨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𝑫𝑹𝑷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A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0" i="1" u="none">
                <a:solidFill>
                  <a:sysClr val="windowText" lastClr="000000"/>
                </a:solidFill>
              </a:endParaRPr>
            </a:p>
            <a:p>
              <a:endParaRPr lang="pt-BR" sz="1000" b="0" i="1">
                <a:solidFill>
                  <a:sysClr val="windowText" lastClr="000000"/>
                </a:solidFill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𝑫𝑹𝑨</m:t>
                      </m:r>
                    </m:sub>
                  </m:sSub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A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𝑻𝑨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𝑩𝑫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𝑫𝑹𝑷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Bônus-desconto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em processamento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0" i="1" u="non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𝑻𝑨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𝑩𝑫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𝑫𝑹𝑨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Bônus-desconto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b="0" i="1" u="non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𝑻𝑩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𝑫𝑹𝑷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B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1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𝑻𝑩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𝑫𝑹𝑨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B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𝑻𝑭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𝑫𝑹𝑷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Componentes Financeiros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𝑻𝑩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𝑫𝑹𝑨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Componentes Financeiros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b="1" i="1" u="none">
                <a:solidFill>
                  <a:sysClr val="windowText" lastClr="000000"/>
                </a:solidFill>
                <a:effectLst/>
              </a:endParaRPr>
            </a:p>
          </xdr:txBody>
        </xdr:sp>
      </mc:Choice>
      <mc:Fallback xmlns="">
        <xdr:sp macro="" textlink="">
          <xdr:nvSpPr>
            <xdr:cNvPr id="32" name="CaixaDeTexto 31">
              <a:extLst>
                <a:ext uri="{FF2B5EF4-FFF2-40B4-BE49-F238E27FC236}">
                  <a16:creationId xmlns:a16="http://schemas.microsoft.com/office/drawing/2014/main" id="{D14FAA3C-81E6-4044-969E-8908E3C4206A}"/>
                </a:ext>
              </a:extLst>
            </xdr:cNvPr>
            <xdr:cNvSpPr txBox="1"/>
          </xdr:nvSpPr>
          <xdr:spPr>
            <a:xfrm>
              <a:off x="3371849" y="2857501"/>
              <a:ext cx="5381626" cy="2590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〖𝑻𝑨〗_𝑫𝑹𝑷  </a:t>
              </a:r>
              <a:r>
                <a:rPr lang="pt-BR" sz="1000" b="0" i="1">
                  <a:solidFill>
                    <a:sysClr val="windowText" lastClr="000000"/>
                  </a:solidFill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A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0" i="1" u="none">
                <a:solidFill>
                  <a:sysClr val="windowText" lastClr="000000"/>
                </a:solidFill>
              </a:endParaRPr>
            </a:p>
            <a:p>
              <a:endParaRPr lang="pt-BR" sz="1000" b="0" i="1">
                <a:solidFill>
                  <a:sysClr val="windowText" lastClr="000000"/>
                </a:solidFill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〖𝑻𝑨〗_𝑫𝑹𝑨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A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〖𝑻𝑨−𝑩𝑫〗_𝑫𝑹𝑷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Bônus-desconto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em processamento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0" i="1" u="non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〖𝑻𝑨−𝑩𝑫〗_𝑫𝑹𝑨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Bônus-desconto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b="0" i="1" u="non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〖𝑻𝑩〗_𝑫𝑹𝑷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B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1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〖𝑻𝑩〗_𝑫𝑹𝑨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B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〖𝑻𝑭〗_𝑫𝑹𝑷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Componentes Financeiros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〖𝑻𝑩〗_𝑫𝑹𝑨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Componentes Financeiros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b="1" i="1" u="none">
                <a:solidFill>
                  <a:sysClr val="windowText" lastClr="000000"/>
                </a:solidFill>
                <a:effectLst/>
              </a:endParaRPr>
            </a:p>
          </xdr:txBody>
        </xdr:sp>
      </mc:Fallback>
    </mc:AlternateContent>
    <xdr:clientData/>
  </xdr:oneCellAnchor>
  <xdr:twoCellAnchor>
    <xdr:from>
      <xdr:col>0</xdr:col>
      <xdr:colOff>0</xdr:colOff>
      <xdr:row>1</xdr:row>
      <xdr:rowOff>0</xdr:rowOff>
    </xdr:from>
    <xdr:to>
      <xdr:col>28</xdr:col>
      <xdr:colOff>0</xdr:colOff>
      <xdr:row>2</xdr:row>
      <xdr:rowOff>107337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BD0E60C8-9922-4696-F3F5-AE4FB27C8BE8}"/>
            </a:ext>
          </a:extLst>
        </xdr:cNvPr>
        <xdr:cNvGrpSpPr/>
      </xdr:nvGrpSpPr>
      <xdr:grpSpPr>
        <a:xfrm>
          <a:off x="0" y="38100"/>
          <a:ext cx="17306925" cy="297837"/>
          <a:chOff x="0" y="38100"/>
          <a:chExt cx="17306925" cy="297837"/>
        </a:xfrm>
      </xdr:grpSpPr>
      <xdr:sp macro="" textlink="">
        <xdr:nvSpPr>
          <xdr:cNvPr id="115" name="Retângulo: Cantos Superiores Arredondados 114">
            <a:extLst>
              <a:ext uri="{FF2B5EF4-FFF2-40B4-BE49-F238E27FC236}">
                <a16:creationId xmlns:a16="http://schemas.microsoft.com/office/drawing/2014/main" id="{7C84B692-A6E9-4B09-8819-AF8A384CCB86}"/>
              </a:ext>
            </a:extLst>
          </xdr:cNvPr>
          <xdr:cNvSpPr>
            <a:spLocks/>
          </xdr:cNvSpPr>
        </xdr:nvSpPr>
        <xdr:spPr>
          <a:xfrm>
            <a:off x="0" y="38100"/>
            <a:ext cx="1804959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16" name="Retângulo: Cantos Superiores Arredondados 115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8652E0DA-1FCC-406D-A6E1-7B8573F39F5E}"/>
              </a:ext>
            </a:extLst>
          </xdr:cNvPr>
          <xdr:cNvSpPr>
            <a:spLocks/>
          </xdr:cNvSpPr>
        </xdr:nvSpPr>
        <xdr:spPr>
          <a:xfrm>
            <a:off x="18009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17" name="Retângulo: Cantos Superiores Arredondados 1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D4CCE12B-515F-4BC1-B3C4-0254735E9002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18" name="Retângulo: Cantos Superiores Arredondados 1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69DBE55-3277-45FE-80B8-6ACBA2639365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19" name="Retângulo: Cantos Superiores Arredondados 11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D0D4A5B0-A6D9-40B8-B69F-85E157A38E88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21" name="Retângulo: Cantos Superiores Arredondados 1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1A69365D-9C25-42D0-8EFA-474D4AE95D24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122" name="Retângulo: Cantos Superiores Arredondados 12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579E331A-7C4E-4D5C-82AB-2AED49337D71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23" name="Retângulo: Cantos Superiores Arredondados 122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4869C1A0-558B-447B-9996-CC65C2068141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14" name="Retângulo: Cantos Superiores Arredondados 11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914545B-4CD8-4ACE-8CB6-47D0E09BA97A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A6EF45AF-10CD-4589-8BD2-3D6F021D370A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16</xdr:col>
      <xdr:colOff>0</xdr:colOff>
      <xdr:row>2</xdr:row>
      <xdr:rowOff>97501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8F9B037D-ED37-4AF2-BDCA-D86CE6D1ABEE}"/>
            </a:ext>
          </a:extLst>
        </xdr:cNvPr>
        <xdr:cNvGrpSpPr/>
      </xdr:nvGrpSpPr>
      <xdr:grpSpPr>
        <a:xfrm>
          <a:off x="0" y="38100"/>
          <a:ext cx="16335375" cy="288001"/>
          <a:chOff x="0" y="48981"/>
          <a:chExt cx="17306922" cy="288000"/>
        </a:xfrm>
      </xdr:grpSpPr>
      <xdr:sp macro="" textlink="">
        <xdr:nvSpPr>
          <xdr:cNvPr id="14" name="Retângulo: Cantos Superiores Arredondados 13">
            <a:extLst>
              <a:ext uri="{FF2B5EF4-FFF2-40B4-BE49-F238E27FC236}">
                <a16:creationId xmlns:a16="http://schemas.microsoft.com/office/drawing/2014/main" id="{AA0FCBF8-E371-B339-EFBB-911F337E125B}"/>
              </a:ext>
            </a:extLst>
          </xdr:cNvPr>
          <xdr:cNvSpPr>
            <a:spLocks/>
          </xdr:cNvSpPr>
        </xdr:nvSpPr>
        <xdr:spPr>
          <a:xfrm>
            <a:off x="0" y="48981"/>
            <a:ext cx="180495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5" name="Retângulo: Cantos Superiores Arredondados 1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4FBC8FA5-ED34-7955-A38A-9DE258C08081}"/>
              </a:ext>
            </a:extLst>
          </xdr:cNvPr>
          <xdr:cNvSpPr>
            <a:spLocks/>
          </xdr:cNvSpPr>
        </xdr:nvSpPr>
        <xdr:spPr>
          <a:xfrm>
            <a:off x="1800929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DCC790-6779-F1BB-DD75-3FF1BBEAD17D}"/>
              </a:ext>
            </a:extLst>
          </xdr:cNvPr>
          <xdr:cNvSpPr>
            <a:spLocks/>
          </xdr:cNvSpPr>
        </xdr:nvSpPr>
        <xdr:spPr>
          <a:xfrm>
            <a:off x="14281720" y="50106"/>
            <a:ext cx="1799126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55356AB0-4347-BDF4-1C5E-712A816F1CCE}"/>
              </a:ext>
            </a:extLst>
          </xdr:cNvPr>
          <xdr:cNvSpPr>
            <a:spLocks/>
          </xdr:cNvSpPr>
        </xdr:nvSpPr>
        <xdr:spPr>
          <a:xfrm>
            <a:off x="10786749" y="48981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A5E3E00-9D6D-B41B-8E06-79371058B214}"/>
              </a:ext>
            </a:extLst>
          </xdr:cNvPr>
          <xdr:cNvSpPr>
            <a:spLocks/>
          </xdr:cNvSpPr>
        </xdr:nvSpPr>
        <xdr:spPr>
          <a:xfrm>
            <a:off x="3596802" y="48981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B123ABC-35DB-0E92-B356-DF764560D430}"/>
              </a:ext>
            </a:extLst>
          </xdr:cNvPr>
          <xdr:cNvSpPr>
            <a:spLocks/>
          </xdr:cNvSpPr>
        </xdr:nvSpPr>
        <xdr:spPr>
          <a:xfrm>
            <a:off x="8975097" y="48981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64DF5F80-BDDE-A621-D04A-2F5C9A02F61A}"/>
              </a:ext>
            </a:extLst>
          </xdr:cNvPr>
          <xdr:cNvSpPr>
            <a:spLocks/>
          </xdr:cNvSpPr>
        </xdr:nvSpPr>
        <xdr:spPr>
          <a:xfrm>
            <a:off x="7184139" y="48981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1" name="Retângulo: Cantos Superiores Arredondados 2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9B31E386-9413-4C2F-0974-CD6EA13E0C28}"/>
              </a:ext>
            </a:extLst>
          </xdr:cNvPr>
          <xdr:cNvSpPr>
            <a:spLocks/>
          </xdr:cNvSpPr>
        </xdr:nvSpPr>
        <xdr:spPr>
          <a:xfrm>
            <a:off x="5394828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83B2172-7CD1-EBFF-9EB5-BB583BC7FD0C}"/>
              </a:ext>
            </a:extLst>
          </xdr:cNvPr>
          <xdr:cNvSpPr>
            <a:spLocks/>
          </xdr:cNvSpPr>
        </xdr:nvSpPr>
        <xdr:spPr>
          <a:xfrm>
            <a:off x="16074544" y="48981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3" name="Retângulo: Cantos Superiores Arredondados 2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A2CF8083-3446-70FA-BACB-6518F7487B47}"/>
              </a:ext>
            </a:extLst>
          </xdr:cNvPr>
          <xdr:cNvSpPr>
            <a:spLocks/>
          </xdr:cNvSpPr>
        </xdr:nvSpPr>
        <xdr:spPr>
          <a:xfrm>
            <a:off x="12736992" y="4898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8448</xdr:rowOff>
    </xdr:from>
    <xdr:to>
      <xdr:col>14</xdr:col>
      <xdr:colOff>1556</xdr:colOff>
      <xdr:row>2</xdr:row>
      <xdr:rowOff>121505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567639F-55AE-4C55-9773-B8FBFEAA330D}"/>
            </a:ext>
          </a:extLst>
        </xdr:cNvPr>
        <xdr:cNvGrpSpPr/>
      </xdr:nvGrpSpPr>
      <xdr:grpSpPr>
        <a:xfrm>
          <a:off x="0" y="46548"/>
          <a:ext cx="17268825" cy="294032"/>
          <a:chOff x="0" y="46494"/>
          <a:chExt cx="17306925" cy="292973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9276EFF5-8EC0-FD85-4798-5ABA1FB130B4}"/>
              </a:ext>
            </a:extLst>
          </xdr:cNvPr>
          <xdr:cNvSpPr>
            <a:spLocks/>
          </xdr:cNvSpPr>
        </xdr:nvSpPr>
        <xdr:spPr>
          <a:xfrm>
            <a:off x="0" y="51467"/>
            <a:ext cx="180495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4" name="Retângulo: Cantos Superiore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C4872EA-C38B-A599-DAF8-37280699609B}"/>
              </a:ext>
            </a:extLst>
          </xdr:cNvPr>
          <xdr:cNvSpPr>
            <a:spLocks/>
          </xdr:cNvSpPr>
        </xdr:nvSpPr>
        <xdr:spPr>
          <a:xfrm>
            <a:off x="1800929" y="51467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5" name="Retângulo: Cantos Superiore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46DAC2A-07D0-4962-879D-A7AEDBA418C7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B8139D3-15CD-D48E-A6E6-2BDA5EB99105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EEDE648-D18E-7B8B-9791-0D947B291EC0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A3EDA51-4F17-2D31-CC0A-1B8602998CA5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4EA56655-FD24-D48A-1B10-59C62A69062E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637E92C0-436A-807C-3857-46D50E7C5EEF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E6667C34-9362-236C-24A2-B3DB6A1BAAF3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56634547-17D1-8F27-F65E-2D82134E392B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2487</xdr:rowOff>
    </xdr:from>
    <xdr:to>
      <xdr:col>16</xdr:col>
      <xdr:colOff>0</xdr:colOff>
      <xdr:row>2</xdr:row>
      <xdr:rowOff>99988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36371EF3-10D9-4B22-8434-388AFDDEFC3B}"/>
            </a:ext>
          </a:extLst>
        </xdr:cNvPr>
        <xdr:cNvGrpSpPr/>
      </xdr:nvGrpSpPr>
      <xdr:grpSpPr>
        <a:xfrm>
          <a:off x="0" y="40587"/>
          <a:ext cx="17221200" cy="288001"/>
          <a:chOff x="0" y="48981"/>
          <a:chExt cx="17306922" cy="288000"/>
        </a:xfrm>
      </xdr:grpSpPr>
      <xdr:sp macro="" textlink="">
        <xdr:nvSpPr>
          <xdr:cNvPr id="26" name="Retângulo: Cantos Superiores Arredondados 25">
            <a:extLst>
              <a:ext uri="{FF2B5EF4-FFF2-40B4-BE49-F238E27FC236}">
                <a16:creationId xmlns:a16="http://schemas.microsoft.com/office/drawing/2014/main" id="{2F56F5E9-BFD4-8E98-0FE4-CA5B1790D56E}"/>
              </a:ext>
            </a:extLst>
          </xdr:cNvPr>
          <xdr:cNvSpPr>
            <a:spLocks/>
          </xdr:cNvSpPr>
        </xdr:nvSpPr>
        <xdr:spPr>
          <a:xfrm>
            <a:off x="0" y="48981"/>
            <a:ext cx="180495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27" name="Retângulo: Cantos Superiores Arredondados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6E1E561B-415A-2804-E2E7-6085780B4EF8}"/>
              </a:ext>
            </a:extLst>
          </xdr:cNvPr>
          <xdr:cNvSpPr>
            <a:spLocks/>
          </xdr:cNvSpPr>
        </xdr:nvSpPr>
        <xdr:spPr>
          <a:xfrm>
            <a:off x="1800929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28" name="Retângulo: Cantos Superiores Arredondados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A246A21-0489-BBE3-8709-784EEC31ADC3}"/>
              </a:ext>
            </a:extLst>
          </xdr:cNvPr>
          <xdr:cNvSpPr>
            <a:spLocks/>
          </xdr:cNvSpPr>
        </xdr:nvSpPr>
        <xdr:spPr>
          <a:xfrm>
            <a:off x="14281720" y="50106"/>
            <a:ext cx="1799126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29" name="Retângulo: Cantos Superiores Arredondados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2E4FC67D-EEC8-29F2-1B4F-0EC8346AE0EB}"/>
              </a:ext>
            </a:extLst>
          </xdr:cNvPr>
          <xdr:cNvSpPr>
            <a:spLocks/>
          </xdr:cNvSpPr>
        </xdr:nvSpPr>
        <xdr:spPr>
          <a:xfrm>
            <a:off x="10786749" y="48981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30" name="Retângulo: Cantos Superiores Arredondados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3B1125C-FAAE-E1E1-3061-D253424CDAC4}"/>
              </a:ext>
            </a:extLst>
          </xdr:cNvPr>
          <xdr:cNvSpPr>
            <a:spLocks/>
          </xdr:cNvSpPr>
        </xdr:nvSpPr>
        <xdr:spPr>
          <a:xfrm>
            <a:off x="3596802" y="48981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31" name="Retângulo: Cantos Superiores Arredondados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B202D5A-2605-AB41-03EF-3EBD4FEFAAA3}"/>
              </a:ext>
            </a:extLst>
          </xdr:cNvPr>
          <xdr:cNvSpPr>
            <a:spLocks/>
          </xdr:cNvSpPr>
        </xdr:nvSpPr>
        <xdr:spPr>
          <a:xfrm>
            <a:off x="8975097" y="48981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32" name="Retângulo: Cantos Superiores Arredondados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54076ED-2C9C-EF48-8C34-22BD56818004}"/>
              </a:ext>
            </a:extLst>
          </xdr:cNvPr>
          <xdr:cNvSpPr>
            <a:spLocks/>
          </xdr:cNvSpPr>
        </xdr:nvSpPr>
        <xdr:spPr>
          <a:xfrm>
            <a:off x="7184139" y="48981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33" name="Retângulo: Cantos Superiores Arredondados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40B0A94F-3201-939B-AD9E-038A74A20CE6}"/>
              </a:ext>
            </a:extLst>
          </xdr:cNvPr>
          <xdr:cNvSpPr>
            <a:spLocks/>
          </xdr:cNvSpPr>
        </xdr:nvSpPr>
        <xdr:spPr>
          <a:xfrm>
            <a:off x="5394828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34" name="Retângulo: Cantos Superiores Arredondados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9208807-2914-0CFE-FA7B-F740ABE3202D}"/>
              </a:ext>
            </a:extLst>
          </xdr:cNvPr>
          <xdr:cNvSpPr>
            <a:spLocks/>
          </xdr:cNvSpPr>
        </xdr:nvSpPr>
        <xdr:spPr>
          <a:xfrm>
            <a:off x="16074544" y="48981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35" name="Retângulo: Cantos Superiores Arredondados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641E3638-5D59-AEA1-C87D-A142B7F5321A}"/>
              </a:ext>
            </a:extLst>
          </xdr:cNvPr>
          <xdr:cNvSpPr>
            <a:spLocks/>
          </xdr:cNvSpPr>
        </xdr:nvSpPr>
        <xdr:spPr>
          <a:xfrm>
            <a:off x="12736992" y="4898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8448</xdr:rowOff>
    </xdr:from>
    <xdr:to>
      <xdr:col>19</xdr:col>
      <xdr:colOff>522817</xdr:colOff>
      <xdr:row>2</xdr:row>
      <xdr:rowOff>118987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16515F7-183D-42E8-943B-6B41F08D5E79}"/>
            </a:ext>
          </a:extLst>
        </xdr:cNvPr>
        <xdr:cNvGrpSpPr/>
      </xdr:nvGrpSpPr>
      <xdr:grpSpPr>
        <a:xfrm>
          <a:off x="0" y="46548"/>
          <a:ext cx="17239192" cy="291514"/>
          <a:chOff x="0" y="46494"/>
          <a:chExt cx="17306925" cy="290552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F9542ACB-CBAB-6099-F063-7CB83A64704E}"/>
              </a:ext>
            </a:extLst>
          </xdr:cNvPr>
          <xdr:cNvSpPr>
            <a:spLocks/>
          </xdr:cNvSpPr>
        </xdr:nvSpPr>
        <xdr:spPr>
          <a:xfrm>
            <a:off x="0" y="49046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4" name="Retângulo: Cantos Superiore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F7B0AF1-3D3D-2CE3-D889-83F275319575}"/>
              </a:ext>
            </a:extLst>
          </xdr:cNvPr>
          <xdr:cNvSpPr>
            <a:spLocks/>
          </xdr:cNvSpPr>
        </xdr:nvSpPr>
        <xdr:spPr>
          <a:xfrm>
            <a:off x="18009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5" name="Retângulo: Cantos Superiore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2CA2C71-D768-B006-D6BD-7327AEF288C5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2CDF3D10-2332-352D-A62C-996FFF1BEF2D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34DBDFC-1F63-A1F7-7EFF-487EE3C5B9D8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D45AD9E2-FB34-59DA-1D29-527B0E3B4FBC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E2265083-5808-2AEE-6987-321EC480C77A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A0DA68C-92B2-F562-D5E7-37682CC59C98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4DFDCCB-CCAF-6CF8-F7FA-4A9CAA78337A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F0120175-0312-0686-841C-3745E8C21B66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3</xdr:row>
      <xdr:rowOff>57149</xdr:rowOff>
    </xdr:from>
    <xdr:to>
      <xdr:col>1</xdr:col>
      <xdr:colOff>114300</xdr:colOff>
      <xdr:row>4</xdr:row>
      <xdr:rowOff>152399</xdr:rowOff>
    </xdr:to>
    <xdr:pic>
      <xdr:nvPicPr>
        <xdr:cNvPr id="21" name="Gráfico 20" descr="Informaçõ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E540E-C966-4B20-9C11-8B3D88476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8150" y="476249"/>
          <a:ext cx="285750" cy="285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29</xdr:col>
      <xdr:colOff>193675</xdr:colOff>
      <xdr:row>2</xdr:row>
      <xdr:rowOff>107337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C3E5BA4D-B3E9-49FE-8BBA-B355AAE28D99}"/>
            </a:ext>
          </a:extLst>
        </xdr:cNvPr>
        <xdr:cNvGrpSpPr/>
      </xdr:nvGrpSpPr>
      <xdr:grpSpPr>
        <a:xfrm>
          <a:off x="0" y="57150"/>
          <a:ext cx="17405350" cy="297837"/>
          <a:chOff x="0" y="38100"/>
          <a:chExt cx="17306925" cy="297837"/>
        </a:xfrm>
      </xdr:grpSpPr>
      <xdr:sp macro="" textlink="">
        <xdr:nvSpPr>
          <xdr:cNvPr id="14" name="Retângulo: Cantos Superiores Arredondados 13">
            <a:extLst>
              <a:ext uri="{FF2B5EF4-FFF2-40B4-BE49-F238E27FC236}">
                <a16:creationId xmlns:a16="http://schemas.microsoft.com/office/drawing/2014/main" id="{95093227-E22A-A33E-2031-C111B57DE837}"/>
              </a:ext>
            </a:extLst>
          </xdr:cNvPr>
          <xdr:cNvSpPr>
            <a:spLocks/>
          </xdr:cNvSpPr>
        </xdr:nvSpPr>
        <xdr:spPr>
          <a:xfrm>
            <a:off x="0" y="38100"/>
            <a:ext cx="1804959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5" name="Retângulo: Cantos Superiores Arredondados 1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50B4008-E17C-5903-5FB7-1BACE5BAE752}"/>
              </a:ext>
            </a:extLst>
          </xdr:cNvPr>
          <xdr:cNvSpPr>
            <a:spLocks/>
          </xdr:cNvSpPr>
        </xdr:nvSpPr>
        <xdr:spPr>
          <a:xfrm>
            <a:off x="18009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F8B8D54-B999-50BD-794F-6349C6CEC439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2C650C34-3377-17F5-9A9C-7EC29B84EE7E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B67901D4-8204-6DB6-DE8C-6EE95482B889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8BA0CB73-3E96-FA31-51C9-0B9B9F0DFD1B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344602C-70BB-7D10-15AF-CE17BA2AE710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BE159354-2CC2-AE80-FBEF-F29B3C478B41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3" name="Retângulo: Cantos Superiores Arredondados 2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42280241-23C4-B86C-F2DC-157FCAA45BD6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4" name="Retângulo: Cantos Superiores Arredondados 23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CFF6F74B-D77E-606D-2F48-49161EB33E7E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645580</xdr:colOff>
      <xdr:row>6</xdr:row>
      <xdr:rowOff>42333</xdr:rowOff>
    </xdr:from>
    <xdr:to>
      <xdr:col>17</xdr:col>
      <xdr:colOff>428624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0BB92B-86A0-48C8-AB00-0EC9F6A41644}"/>
            </a:ext>
            <a:ext uri="{147F2762-F138-4A5C-976F-8EAC2B608ADB}">
              <a16:predDERef xmlns:a16="http://schemas.microsoft.com/office/drawing/2014/main" pred="{8329071A-EACC-4597-A5FF-E5E5E1915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4762</xdr:rowOff>
    </xdr:from>
    <xdr:to>
      <xdr:col>17</xdr:col>
      <xdr:colOff>1093258</xdr:colOff>
      <xdr:row>2</xdr:row>
      <xdr:rowOff>107337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B0D1254E-7863-4C7D-9631-5909EB413029}"/>
            </a:ext>
          </a:extLst>
        </xdr:cNvPr>
        <xdr:cNvGrpSpPr/>
      </xdr:nvGrpSpPr>
      <xdr:grpSpPr>
        <a:xfrm>
          <a:off x="0" y="42862"/>
          <a:ext cx="17285758" cy="293075"/>
          <a:chOff x="0" y="42862"/>
          <a:chExt cx="17306925" cy="293075"/>
        </a:xfrm>
      </xdr:grpSpPr>
      <xdr:sp macro="" textlink="">
        <xdr:nvSpPr>
          <xdr:cNvPr id="14" name="Retângulo: Cantos Superiores Arredondados 13">
            <a:extLst>
              <a:ext uri="{FF2B5EF4-FFF2-40B4-BE49-F238E27FC236}">
                <a16:creationId xmlns:a16="http://schemas.microsoft.com/office/drawing/2014/main" id="{D0480482-43E9-79EF-60ED-1D819E79FE72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8D95E23-B269-F370-8134-B1BC37632FF3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85AD016-D7F9-15FE-DCD1-8AC1877EFB6F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E724BF5-C38C-0565-B912-B50435AC4BC1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77FD135C-208E-1016-58DA-7FFD7666DDB2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FEACC319-FCE0-B18D-1A99-94180227F847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21" name="Retângulo: Cantos Superiores Arredondados 2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AF017D76-FE4C-AEA4-1269-6BB7EE7A9A06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D9E5C93-5571-999C-C34B-3E5BA56A6766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3" name="Retângulo: Cantos Superiores Arredondados 2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8AC0B5BD-01FF-2D51-6AE8-CE84346270E4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4" name="Retângulo: Cantos Superiores Arredondados 23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63E0E61-E1E7-B6C1-3F84-06AC8979DEDD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24</xdr:row>
      <xdr:rowOff>84666</xdr:rowOff>
    </xdr:from>
    <xdr:to>
      <xdr:col>13</xdr:col>
      <xdr:colOff>1005417</xdr:colOff>
      <xdr:row>38</xdr:row>
      <xdr:rowOff>161925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F6BC9A2-3015-491E-B28F-272415D6AAA7}"/>
            </a:ext>
            <a:ext uri="{147F2762-F138-4A5C-976F-8EAC2B608ADB}">
              <a16:predDERef xmlns:a16="http://schemas.microsoft.com/office/drawing/2014/main" pred="{1AD150DC-88D1-49B1-A304-55C1803A6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4762</xdr:rowOff>
    </xdr:from>
    <xdr:to>
      <xdr:col>17</xdr:col>
      <xdr:colOff>3175</xdr:colOff>
      <xdr:row>2</xdr:row>
      <xdr:rowOff>107337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B4B465D8-FFEE-428B-827D-0EE547A1C220}"/>
            </a:ext>
          </a:extLst>
        </xdr:cNvPr>
        <xdr:cNvGrpSpPr/>
      </xdr:nvGrpSpPr>
      <xdr:grpSpPr>
        <a:xfrm>
          <a:off x="0" y="42862"/>
          <a:ext cx="17297400" cy="293075"/>
          <a:chOff x="0" y="42862"/>
          <a:chExt cx="17306925" cy="293075"/>
        </a:xfrm>
      </xdr:grpSpPr>
      <xdr:sp macro="" textlink="">
        <xdr:nvSpPr>
          <xdr:cNvPr id="4" name="Retângulo: Cantos Superiores Arredondados 3">
            <a:extLst>
              <a:ext uri="{FF2B5EF4-FFF2-40B4-BE49-F238E27FC236}">
                <a16:creationId xmlns:a16="http://schemas.microsoft.com/office/drawing/2014/main" id="{761AF72F-B2A8-745C-BA0B-DAF4B96D2BD1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5" name="Retângulo: Cantos Superiore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16D1D02-9CBA-AFA0-6C17-AD164A0E8140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7AADBE6-10D1-107F-FF2D-B8FB117CDB0C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4A61B2-18CE-7F9D-B1C3-40049FAC787A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DDC49059-B097-990B-79D5-B8B6630C5F2D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BB3D208F-CC7A-C5FE-A585-AAC5E95517F6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BA44BAE2-FED8-FB32-B306-96A09588DEAC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2D756D05-41A9-A0FD-710D-A7769FA6E125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B8AD81B-A6AB-ED27-36D0-E308B449972F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3" name="Retângulo: Cantos Superiores Arredondados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1E988B8-A640-0EA3-090D-84CE39402FA4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4800</xdr:rowOff>
    </xdr:from>
    <xdr:to>
      <xdr:col>19</xdr:col>
      <xdr:colOff>4762</xdr:colOff>
      <xdr:row>2</xdr:row>
      <xdr:rowOff>119243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FF04737-390C-4639-A324-D7CFA045AC78}"/>
            </a:ext>
          </a:extLst>
        </xdr:cNvPr>
        <xdr:cNvGrpSpPr/>
      </xdr:nvGrpSpPr>
      <xdr:grpSpPr>
        <a:xfrm>
          <a:off x="0" y="42900"/>
          <a:ext cx="17287875" cy="295418"/>
          <a:chOff x="0" y="42862"/>
          <a:chExt cx="17306925" cy="293075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02DDF8F4-AE50-1B9A-74C0-8CC0A82890A1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4" name="Retângulo: Cantos Superiore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40FBC40-7A9C-899E-67FE-0242EEA43C8F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5" name="Retângulo: Cantos Superiore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34F657C-4992-BA5A-9DEF-F03131C15F2A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B0D10CC-E5E8-BD3A-C7C4-8E0755D4294E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C93C853-AFCB-C424-4A04-6F0A024F6ECF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467BE9BC-25A9-6560-D18F-AF68B394CB9C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E73DEBE-8F5A-7E9E-2DBC-C11E809AA9B3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DD70D571-1FBF-2048-5001-8760A162638A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8E25A61-FF80-92C8-EB0E-7FF13584AC2B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F6F7CF8B-C8D2-E29E-6266-51D8CFF02AD9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</xdr:rowOff>
    </xdr:from>
    <xdr:to>
      <xdr:col>11</xdr:col>
      <xdr:colOff>0</xdr:colOff>
      <xdr:row>2</xdr:row>
      <xdr:rowOff>116862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90DE8A1-1C8C-43D7-B033-A814B71C2D91}"/>
            </a:ext>
          </a:extLst>
        </xdr:cNvPr>
        <xdr:cNvGrpSpPr/>
      </xdr:nvGrpSpPr>
      <xdr:grpSpPr>
        <a:xfrm>
          <a:off x="0" y="42862"/>
          <a:ext cx="17306925" cy="293075"/>
          <a:chOff x="0" y="42862"/>
          <a:chExt cx="17306925" cy="293075"/>
        </a:xfrm>
      </xdr:grpSpPr>
      <xdr:sp macro="" textlink="">
        <xdr:nvSpPr>
          <xdr:cNvPr id="13" name="Retângulo: Cantos Superiores Arredondados 12">
            <a:extLst>
              <a:ext uri="{FF2B5EF4-FFF2-40B4-BE49-F238E27FC236}">
                <a16:creationId xmlns:a16="http://schemas.microsoft.com/office/drawing/2014/main" id="{BF51CDD3-6B4E-9538-1960-B12E0D59C16A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4" name="Retângulo: Cantos Superiores Arredondados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6CB5C7F4-E964-26C3-3E08-D33892FDA693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5" name="Retângulo: Cantos Superiores Arredondados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DD6B5AA-F377-7F98-71D7-2CA9C86837D9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48B8326-817E-B001-ADA2-6770B7055862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310FBD0-9451-DEAB-8451-723835DF1736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E260275-3C18-8EB2-D8C5-BF78ABF05C94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5ACA519E-F19D-EC29-09E7-D919D05B45C8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FAA5CD57-705B-BC2D-BFEF-F39D657073CD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1" name="Retângulo: Cantos Superiores Arredondados 2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56A789B-6B24-4B6D-347C-46DA441441A7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664883B4-9A2C-B94F-B50E-A84148F3B173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1876425</xdr:colOff>
      <xdr:row>6</xdr:row>
      <xdr:rowOff>76200</xdr:rowOff>
    </xdr:from>
    <xdr:to>
      <xdr:col>11</xdr:col>
      <xdr:colOff>400049</xdr:colOff>
      <xdr:row>16</xdr:row>
      <xdr:rowOff>219075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3205B8-B51E-4C01-BCF5-112A4DA6D786}"/>
            </a:ext>
            <a:ext uri="{147F2762-F138-4A5C-976F-8EAC2B608ADB}">
              <a16:predDERef xmlns:a16="http://schemas.microsoft.com/office/drawing/2014/main" pred="{BEEEF75C-D86C-4111-A493-EECAD3BAF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1695450</xdr:colOff>
      <xdr:row>18</xdr:row>
      <xdr:rowOff>85724</xdr:rowOff>
    </xdr:from>
    <xdr:to>
      <xdr:col>11</xdr:col>
      <xdr:colOff>657227</xdr:colOff>
      <xdr:row>33</xdr:row>
      <xdr:rowOff>57149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9BB6C7-A398-4790-A944-A54A5D39A622}"/>
            </a:ext>
            <a:ext uri="{147F2762-F138-4A5C-976F-8EAC2B608ADB}">
              <a16:predDERef xmlns:a16="http://schemas.microsoft.com/office/drawing/2014/main" pred="{063205B8-B51E-4C01-BCF5-112A4DA6D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4762</xdr:rowOff>
    </xdr:from>
    <xdr:to>
      <xdr:col>12</xdr:col>
      <xdr:colOff>0</xdr:colOff>
      <xdr:row>2</xdr:row>
      <xdr:rowOff>107337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1EA1EBBE-0C0C-4317-87FC-0FBEF5E9A884}"/>
            </a:ext>
          </a:extLst>
        </xdr:cNvPr>
        <xdr:cNvGrpSpPr/>
      </xdr:nvGrpSpPr>
      <xdr:grpSpPr>
        <a:xfrm>
          <a:off x="0" y="42862"/>
          <a:ext cx="17297400" cy="293075"/>
          <a:chOff x="0" y="42862"/>
          <a:chExt cx="17306925" cy="293075"/>
        </a:xfrm>
      </xdr:grpSpPr>
      <xdr:sp macro="" textlink="">
        <xdr:nvSpPr>
          <xdr:cNvPr id="5" name="Retângulo: Cantos Superiores Arredondados 4">
            <a:extLst>
              <a:ext uri="{FF2B5EF4-FFF2-40B4-BE49-F238E27FC236}">
                <a16:creationId xmlns:a16="http://schemas.microsoft.com/office/drawing/2014/main" id="{E3A57425-57BF-BC28-DB85-5A563138C180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29895BE-DEA2-71F2-9B75-DEF869C9824E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4D803A35-539D-005F-5474-BA69EDE15503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E50476B2-4C77-DAB5-0770-C2CCE1D8E46D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49432A3-CEF7-0D2F-4BD6-E7D11CDB1E09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6EFEA28D-9F8E-A2A3-A2A2-869380D9082D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0C6FB98-818D-9F0B-9DF9-9E8F027B73C5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A145BEED-1FA2-0BCE-19EE-9AAE22983C58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3" name="Retângulo: Cantos Superiores Arredondados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FB4862C4-891F-A85B-2B59-C288A7C202E7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4" name="Retângulo: Cantos Superiores Arredondados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46CA8FD-B236-57E5-2FCF-84E3EAF73907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</xdr:rowOff>
    </xdr:from>
    <xdr:to>
      <xdr:col>17</xdr:col>
      <xdr:colOff>0</xdr:colOff>
      <xdr:row>2</xdr:row>
      <xdr:rowOff>107337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B930373C-9297-4998-86EB-EBC163869F7B}"/>
            </a:ext>
          </a:extLst>
        </xdr:cNvPr>
        <xdr:cNvGrpSpPr/>
      </xdr:nvGrpSpPr>
      <xdr:grpSpPr>
        <a:xfrm>
          <a:off x="0" y="42862"/>
          <a:ext cx="17849850" cy="293075"/>
          <a:chOff x="0" y="42862"/>
          <a:chExt cx="17306925" cy="293075"/>
        </a:xfrm>
      </xdr:grpSpPr>
      <xdr:sp macro="" textlink="">
        <xdr:nvSpPr>
          <xdr:cNvPr id="14" name="Retângulo: Cantos Superiores Arredondados 13">
            <a:extLst>
              <a:ext uri="{FF2B5EF4-FFF2-40B4-BE49-F238E27FC236}">
                <a16:creationId xmlns:a16="http://schemas.microsoft.com/office/drawing/2014/main" id="{750073E4-B294-8C57-17F8-5149264E0B02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5" name="Retângulo: Cantos Superiores Arredondados 1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8BF47FAC-C965-841B-7B91-05CB1FABD7EE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859AB08-D4D9-FC06-C313-07A6BA44D430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5DE20D5-04F7-7224-0540-DCF4C126800C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57BDAF6-2418-0136-E640-2EFE7606C01B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C23ECF3-0B3C-BA37-E9C2-E86F699BDA7A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2513F711-7E35-9F77-5920-9F3A90BBD743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1" name="Retângulo: Cantos Superiores Arredondados 2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89950099-C01F-BF96-29B0-B0C3D238314D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B5B51BE2-02E6-DE6F-439E-5893BD9B0569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3" name="Retângulo: Cantos Superiores Arredondados 2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2249A47B-BE12-66E8-BA5A-4B3AB2A6079D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</xdr:rowOff>
    </xdr:from>
    <xdr:to>
      <xdr:col>20</xdr:col>
      <xdr:colOff>0</xdr:colOff>
      <xdr:row>2</xdr:row>
      <xdr:rowOff>107337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FF90F39-8F03-4E1B-ACF6-42ACB211F4A9}"/>
            </a:ext>
          </a:extLst>
        </xdr:cNvPr>
        <xdr:cNvGrpSpPr/>
      </xdr:nvGrpSpPr>
      <xdr:grpSpPr>
        <a:xfrm>
          <a:off x="0" y="42862"/>
          <a:ext cx="19573875" cy="293075"/>
          <a:chOff x="0" y="42862"/>
          <a:chExt cx="17306925" cy="293075"/>
        </a:xfrm>
      </xdr:grpSpPr>
      <xdr:sp macro="" textlink="">
        <xdr:nvSpPr>
          <xdr:cNvPr id="14" name="Retângulo: Cantos Superiores Arredondados 13">
            <a:extLst>
              <a:ext uri="{FF2B5EF4-FFF2-40B4-BE49-F238E27FC236}">
                <a16:creationId xmlns:a16="http://schemas.microsoft.com/office/drawing/2014/main" id="{498ABCD9-677D-B40F-FEB2-DA0EFF687106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5" name="Retângulo: Cantos Superiores Arredondados 1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99E5F6B-0E90-166B-0CEA-C2860D974028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C401B4B-0E95-6EC4-9999-96135C511FBB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792B1605-E249-9556-A026-C176085D3226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822071D-332B-5498-A499-F5026AF2464B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EBA2AEB0-E13E-59C5-BE60-C88A50F89B78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1070D3C-A90E-6714-33E8-B9DE09CBD540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1" name="Retângulo: Cantos Superiores Arredondados 2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35AEA6C-2B5F-0C04-89F8-2D9DB4B9B795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B8C37B1E-280E-B5D0-78D6-06EAEA961754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3" name="Retângulo: Cantos Superiores Arredondados 2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DDF38FA3-4266-1F40-4931-A927E51D8EBF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fs04\WORKFA\lydiane\ME\ADASA\AP\MODELO_ER_-_ADASA_xv_1.1x_-_AP_001-2008\(BASE)%20EMPRESA%20REFERENCIA%20-%20ANEEL%20-%20CEB%20AP%20-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rspfs04\WORKFA\Users\Valuation%20Group\Business%20Valuation\SERVI&#199;OS\Regula&#231;&#227;o%20Econ&#244;mica\2.%20Projetos\2015\ADASA\6.%20Pesquisas%20DTT\0.%20ADASA%20-%20Planilhas\NT%20005-2010\MODELO_Custos%20Operacionais%20Eficientes%20-%20NT%20005-2010%20-%20Pos-AP001%20-%202010.xls?AE7702B4" TargetMode="External"/><Relationship Id="rId1" Type="http://schemas.openxmlformats.org/officeDocument/2006/relationships/externalLinkPath" Target="file:///\\AE7702B4\MODELO_Custos%20Operacionais%20Eficientes%20-%20NT%20005-2010%20-%20Pos-AP001%20-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fs\WORKFA\Users\Valuation%20Group\Business%20Valuation\SERVI&#199;OS\Regula&#231;&#227;o%20Econ&#244;mica\2.%20Projetos\2014\Agesan\2.%20Execu&#231;&#227;o\Entrega%202%20-%20Diagn&#243;stico%20da%20Situa&#231;&#227;o%20atual\Item%20V\Lages\DRE%20Hist&#243;rica_Lag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fs01\WORKFAS\FAS\Clientes%202008\Henkel\WACC\WACC_junho_2008%20Ajustada_Henkel_v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bcfs\workfas\Users\CORPORA\Staff\Fernanda%20Sodr&#233;\Tr&#243;pico\Wacc%20VoiP%20Novembro_2004%20fernan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NTROLE"/>
      <sheetName val="Parâmetros"/>
      <sheetName val="Consumidores"/>
      <sheetName val="Dados Físicos"/>
      <sheetName val="Custos Adicionais"/>
      <sheetName val="EmpresasDadosGerais"/>
      <sheetName val="Índices"/>
      <sheetName val="Custo Mat de Tarefas"/>
      <sheetName val="Custos EPC-EPI"/>
      <sheetName val="Custo Equipe"/>
      <sheetName val="Custos de Veículo"/>
      <sheetName val="Administração e Sistemas"/>
      <sheetName val="Salarios"/>
      <sheetName val="Cluster1"/>
      <sheetName val="Cluster2"/>
      <sheetName val="Cluster3"/>
      <sheetName val="Cluster4"/>
      <sheetName val="Cluster5"/>
      <sheetName val="Cluster6"/>
      <sheetName val="Cluster7"/>
      <sheetName val="Cluster8"/>
      <sheetName val="Cluster9"/>
      <sheetName val="Cluster10"/>
      <sheetName val="Gastos Gerencias Regionais"/>
      <sheetName val="Tarefas Comerciais"/>
      <sheetName val="Tarefas de O&amp;M"/>
      <sheetName val="Gastos Sistemas Computacionais"/>
      <sheetName val="Plan1"/>
      <sheetName val="Faturamento"/>
      <sheetName val="Perdas velha"/>
      <sheetName val="Perdas Nao Técnicas"/>
      <sheetName val="Teleatendimentovelho"/>
      <sheetName val="Teleatendimento"/>
      <sheetName val="Relatorio 1"/>
      <sheetName val="Relatorio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"/>
      <sheetName val="P-Indices"/>
      <sheetName val="P-Salarios"/>
      <sheetName val="P-Equipes"/>
      <sheetName val="P-Veiculos"/>
      <sheetName val="E-Estrutura"/>
      <sheetName val="E-AdmSist"/>
      <sheetName val="E-ETA-ETE"/>
      <sheetName val="E-Elevatorias"/>
      <sheetName val="E-Comercial"/>
      <sheetName val="E-Economias"/>
      <sheetName val="E-Fisicos-Agua (Cap)"/>
      <sheetName val="E-Fisicos-Agua (ETA)"/>
      <sheetName val="E-Fisicos-Agua (Dist)"/>
      <sheetName val="E-Fisicos-Esgoto (Col)"/>
      <sheetName val="E-Fisicos-Esgoto (ETE)"/>
      <sheetName val="E-Fisicos-Esgoto (Emi)"/>
      <sheetName val="E-Adicionais"/>
      <sheetName val="C-Sistemas"/>
      <sheetName val="C-EstCentral"/>
      <sheetName val="C-Regional"/>
      <sheetName val="C-Elevatorias"/>
      <sheetName val="C-ETA-ETE Adm"/>
      <sheetName val="C-ETA-ETE Insumos"/>
      <sheetName val="C-EscritCom"/>
      <sheetName val="C-Faturamento"/>
      <sheetName val="C-Teleatendimento"/>
      <sheetName val="C-O&amp;M-Agua (Cap)"/>
      <sheetName val="C-O&amp;M-Agua (ETA)"/>
      <sheetName val="C-O&amp;M-Agua (Dist)"/>
      <sheetName val="C-O&amp;M-Esgoto (Col)"/>
      <sheetName val="C-O&amp;M-Esgoto (ETE)"/>
      <sheetName val="C-O&amp;M-Esgoto (Emi)"/>
      <sheetName val="S-Geral"/>
      <sheetName val="S-Sistemas"/>
      <sheetName val="S-EstCentral"/>
      <sheetName val="S-Regional"/>
      <sheetName val="S-Elevatorias"/>
      <sheetName val="S-ETA-ETE"/>
      <sheetName val="S-EscritCom"/>
      <sheetName val="S-Faturamento"/>
      <sheetName val="S-Teleatendimento"/>
      <sheetName val="S-O&amp;M Gasto"/>
      <sheetName val="S-O&amp;M Qtdes"/>
      <sheetName val="S-CustSist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"/>
      <sheetName val="Recebidos"/>
      <sheetName val="Rec. 2010"/>
      <sheetName val="Rec. 2011"/>
      <sheetName val="Rec. 2013"/>
      <sheetName val="Desp. 2010"/>
      <sheetName val="Desp. 2011"/>
      <sheetName val="Desp. 2012"/>
      <sheetName val="Verificar_Desp. 2013"/>
      <sheetName val="Verificar_Desp 2012"/>
      <sheetName val="Verificar_Rec. 201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ão Relatótio"/>
      <sheetName val="Final"/>
      <sheetName val="Controle"/>
      <sheetName val="BETA"/>
      <sheetName val="Country Risk"/>
      <sheetName val="T-Bonds"/>
      <sheetName val="Long-Horizon ERP"/>
      <sheetName val="Mid-Cap Premia"/>
      <sheetName val="Low-Cap Premia"/>
      <sheetName val="Micro-Cap Premia"/>
      <sheetName val="US Inflation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terc"/>
      <sheetName val="Kterc (2)"/>
      <sheetName val="Final"/>
      <sheetName val="Controle"/>
      <sheetName val="BETA (2)"/>
      <sheetName val="BETA"/>
      <sheetName val="Country Risk"/>
      <sheetName val="T-Bonds"/>
      <sheetName val="Long-Horizon ERP"/>
      <sheetName val="Mid-Cap Premia"/>
      <sheetName val="Low-Cap Premia"/>
      <sheetName val="Micro-Cap Premia"/>
      <sheetName val="US Inflation"/>
      <sheetName val="Fat T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dasa.df.gov.br/images/storage/legislacao/Notas_Tecnicas/2024/Nota_Tecnica05_2024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dasa.df.gov.br/images/storage/legislacao/resolucoes_adasa/2025/Resolucao_53_2025_1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asa.df.gov.br/images/storage/legislacao/resolucoes_adasa/2025/Resolucao_53_2025_1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8607-90C1-438C-AD22-4D9BF2C2515D}">
  <sheetPr>
    <tabColor theme="3" tint="0.79998168889431442"/>
  </sheetPr>
  <dimension ref="A1:AB52"/>
  <sheetViews>
    <sheetView showGridLines="0" topLeftCell="E1" zoomScaleNormal="100" workbookViewId="0">
      <selection activeCell="Z28" sqref="Z28"/>
    </sheetView>
  </sheetViews>
  <sheetFormatPr defaultColWidth="0" defaultRowHeight="15" zeroHeight="1"/>
  <cols>
    <col min="1" max="12" width="9.140625" customWidth="1"/>
    <col min="13" max="13" width="17.85546875" customWidth="1"/>
    <col min="14" max="25" width="9.140625" customWidth="1"/>
    <col min="26" max="26" width="7.7109375" customWidth="1"/>
    <col min="27" max="27" width="5.42578125" customWidth="1"/>
    <col min="28" max="28" width="9.140625" customWidth="1"/>
    <col min="29" max="16384" width="9.140625" hidden="1"/>
  </cols>
  <sheetData>
    <row r="1" s="21" customFormat="1" ht="3" customHeight="1"/>
    <row r="2" s="21" customFormat="1"/>
    <row r="3" s="83" customFormat="1"/>
    <row r="4" s="83" customFormat="1"/>
    <row r="5" s="83" customFormat="1" ht="20.100000000000001" customHeight="1"/>
    <row r="6"/>
    <row r="7"/>
    <row r="8"/>
    <row r="9"/>
    <row r="10"/>
    <row r="11"/>
    <row r="12"/>
    <row r="13"/>
    <row r="14"/>
    <row r="15"/>
    <row r="16"/>
    <row r="17" spans="15:15"/>
    <row r="18" spans="15:15"/>
    <row r="19" spans="15:15"/>
    <row r="20" spans="15:15"/>
    <row r="21" spans="15:15"/>
    <row r="22" spans="15:15"/>
    <row r="23" spans="15:15"/>
    <row r="24" spans="15:15"/>
    <row r="25" spans="15:15"/>
    <row r="26" spans="15:15">
      <c r="O26" s="19"/>
    </row>
    <row r="27" spans="15:15">
      <c r="O27" s="19"/>
    </row>
    <row r="28" spans="15:15">
      <c r="O28" s="19"/>
    </row>
    <row r="29" spans="15:15">
      <c r="O29" s="19"/>
    </row>
    <row r="30" spans="15:15">
      <c r="O30" s="19"/>
    </row>
    <row r="31" spans="15:15"/>
    <row r="32" spans="15:15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79C7-DC36-435A-A196-C49B009BBAB9}">
  <sheetPr>
    <tabColor theme="3"/>
  </sheetPr>
  <dimension ref="A1:Q54"/>
  <sheetViews>
    <sheetView showGridLines="0" topLeftCell="A7" zoomScaleNormal="100" workbookViewId="0">
      <selection activeCell="C30" sqref="C30"/>
    </sheetView>
  </sheetViews>
  <sheetFormatPr defaultColWidth="0" defaultRowHeight="0" customHeight="1" zeroHeight="1"/>
  <cols>
    <col min="1" max="1" width="3.42578125" customWidth="1"/>
    <col min="2" max="2" width="18" customWidth="1"/>
    <col min="3" max="3" width="20" style="13" bestFit="1" customWidth="1"/>
    <col min="4" max="4" width="15.5703125" bestFit="1" customWidth="1"/>
    <col min="5" max="5" width="18.42578125" bestFit="1" customWidth="1"/>
    <col min="6" max="7" width="16.28515625" bestFit="1" customWidth="1"/>
    <col min="8" max="8" width="17.28515625" customWidth="1"/>
    <col min="9" max="14" width="16.28515625" bestFit="1" customWidth="1"/>
    <col min="15" max="15" width="19.28515625" customWidth="1"/>
    <col min="16" max="16" width="2.7109375" customWidth="1"/>
    <col min="17" max="16384" width="3" hidden="1"/>
  </cols>
  <sheetData>
    <row r="1" spans="1:17" ht="3" customHeight="1"/>
    <row r="2" spans="1:17" ht="15"/>
    <row r="3" spans="1:17" ht="15">
      <c r="A3" s="83"/>
      <c r="B3" s="83"/>
      <c r="C3" s="105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15">
      <c r="A4" s="83"/>
      <c r="B4" s="83"/>
      <c r="C4" s="105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ht="20.100000000000001" customHeight="1">
      <c r="A5" s="83"/>
      <c r="B5" s="83"/>
      <c r="C5" s="105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7" ht="15"/>
    <row r="7" spans="1:17" ht="18.75">
      <c r="B7" s="111"/>
      <c r="C7" s="102"/>
    </row>
    <row r="8" spans="1:17" ht="45">
      <c r="B8" s="215" t="s">
        <v>228</v>
      </c>
      <c r="C8" s="215" t="s">
        <v>229</v>
      </c>
      <c r="D8" s="215" t="s">
        <v>230</v>
      </c>
      <c r="E8" s="215" t="s">
        <v>231</v>
      </c>
      <c r="H8" s="321"/>
    </row>
    <row r="9" spans="1:17" ht="15">
      <c r="B9" s="391">
        <v>2021</v>
      </c>
      <c r="C9" s="322">
        <v>157264404.00999999</v>
      </c>
      <c r="D9" s="322">
        <v>281728638</v>
      </c>
      <c r="E9" s="322">
        <v>388917872</v>
      </c>
      <c r="F9" s="485"/>
      <c r="G9" s="315"/>
      <c r="H9" s="315"/>
      <c r="I9" s="315"/>
      <c r="J9" s="315"/>
      <c r="K9" s="315"/>
      <c r="L9" s="179"/>
      <c r="M9" s="179"/>
      <c r="N9" s="179"/>
      <c r="O9" s="18"/>
    </row>
    <row r="10" spans="1:17" ht="15">
      <c r="B10" s="391">
        <v>2022</v>
      </c>
      <c r="C10" s="322">
        <v>179886675.17000002</v>
      </c>
      <c r="D10" s="322">
        <v>298879886</v>
      </c>
      <c r="E10" s="322">
        <v>391059146</v>
      </c>
      <c r="F10" s="178"/>
      <c r="G10" s="178"/>
      <c r="H10" s="178"/>
      <c r="I10" s="178"/>
      <c r="J10" s="178"/>
      <c r="K10" s="178"/>
      <c r="L10" s="178"/>
      <c r="M10" s="103"/>
    </row>
    <row r="11" spans="1:17" ht="15">
      <c r="B11" s="391">
        <v>2023</v>
      </c>
      <c r="C11" s="322">
        <v>207704701.05000001</v>
      </c>
      <c r="D11" s="322">
        <v>310978558</v>
      </c>
      <c r="E11" s="322">
        <v>410282971</v>
      </c>
      <c r="F11" s="321"/>
      <c r="H11" s="18"/>
      <c r="I11" s="18"/>
      <c r="J11" s="3"/>
    </row>
    <row r="12" spans="1:17" ht="15">
      <c r="B12" s="391">
        <v>2024</v>
      </c>
      <c r="C12" s="322">
        <v>228829472.75</v>
      </c>
      <c r="D12" s="322">
        <v>340704936</v>
      </c>
      <c r="E12" s="322">
        <v>410509148</v>
      </c>
      <c r="F12" s="321"/>
      <c r="H12" s="18"/>
      <c r="I12" s="18"/>
      <c r="J12" s="3"/>
    </row>
    <row r="13" spans="1:17" ht="15">
      <c r="B13" s="13"/>
      <c r="C13" s="448"/>
      <c r="D13" s="71"/>
      <c r="E13" s="449"/>
      <c r="F13" s="461"/>
      <c r="G13" s="321"/>
      <c r="I13" s="18"/>
      <c r="J13" s="18"/>
      <c r="K13" s="3"/>
    </row>
    <row r="14" spans="1:17" ht="15">
      <c r="B14" s="447"/>
      <c r="C14" s="448"/>
      <c r="D14" s="71"/>
      <c r="E14" s="449"/>
      <c r="F14" s="461"/>
      <c r="G14" s="321"/>
      <c r="I14" s="18"/>
      <c r="J14" s="18"/>
      <c r="K14" s="3"/>
    </row>
    <row r="15" spans="1:17" ht="18.75">
      <c r="B15" s="464" t="s">
        <v>232</v>
      </c>
      <c r="C15" s="471">
        <f t="shared" ref="C15:C17" si="0">D9/E9</f>
        <v>0.72439108172431843</v>
      </c>
      <c r="D15" s="450"/>
      <c r="E15" s="449"/>
      <c r="F15" s="461"/>
      <c r="G15" s="321"/>
      <c r="I15" s="18"/>
      <c r="J15" s="18"/>
      <c r="K15" s="3"/>
    </row>
    <row r="16" spans="1:17" ht="18.75">
      <c r="B16" s="464" t="s">
        <v>233</v>
      </c>
      <c r="C16" s="471">
        <f t="shared" si="0"/>
        <v>0.7642830734356485</v>
      </c>
      <c r="D16" s="447"/>
      <c r="E16" s="449"/>
      <c r="F16" s="461"/>
      <c r="G16" s="321"/>
      <c r="I16" s="18"/>
      <c r="J16" s="18"/>
      <c r="K16" s="3"/>
    </row>
    <row r="17" spans="2:9" ht="18.75">
      <c r="B17" s="464" t="s">
        <v>234</v>
      </c>
      <c r="C17" s="471">
        <f t="shared" si="0"/>
        <v>0.75796116334548036</v>
      </c>
      <c r="D17" s="462"/>
      <c r="E17" s="462"/>
    </row>
    <row r="18" spans="2:9" ht="5.0999999999999996" customHeight="1">
      <c r="B18" s="465"/>
      <c r="C18" s="472"/>
      <c r="D18" s="321"/>
      <c r="E18" s="321"/>
      <c r="F18" s="321"/>
      <c r="G18" s="178"/>
    </row>
    <row r="19" spans="2:9" ht="18.75">
      <c r="B19" s="464" t="s">
        <v>235</v>
      </c>
      <c r="C19" s="471">
        <f>AVERAGE(C15:C17)</f>
        <v>0.74887843950181576</v>
      </c>
      <c r="G19" s="388"/>
    </row>
    <row r="20" spans="2:9" ht="5.0999999999999996" customHeight="1">
      <c r="B20" s="465"/>
      <c r="C20" s="466"/>
      <c r="D20" s="457"/>
      <c r="E20" s="457"/>
    </row>
    <row r="21" spans="2:9" ht="18.75">
      <c r="B21" s="464" t="s">
        <v>236</v>
      </c>
      <c r="C21" s="468">
        <f>Volume_2025!P12</f>
        <v>415348985.09999996</v>
      </c>
      <c r="D21" s="450"/>
      <c r="E21" s="449"/>
    </row>
    <row r="22" spans="2:9" ht="5.0999999999999996" customHeight="1">
      <c r="B22" s="465"/>
      <c r="C22" s="447"/>
      <c r="D22" s="450"/>
      <c r="E22" s="449"/>
    </row>
    <row r="23" spans="2:9" ht="18.75">
      <c r="B23" s="464" t="s">
        <v>237</v>
      </c>
      <c r="C23" s="469">
        <f>C21*C19</f>
        <v>311045899.81035089</v>
      </c>
      <c r="D23" s="450"/>
      <c r="E23" s="449"/>
      <c r="G23" s="359"/>
      <c r="H23" s="358"/>
    </row>
    <row r="24" spans="2:9" ht="5.0999999999999996" customHeight="1">
      <c r="B24" s="465"/>
      <c r="C24" s="447"/>
      <c r="D24" s="450"/>
      <c r="E24" s="449"/>
      <c r="G24" s="359"/>
      <c r="H24" s="360"/>
    </row>
    <row r="25" spans="2:9" ht="18.75">
      <c r="B25" s="464" t="s">
        <v>238</v>
      </c>
      <c r="C25" s="473">
        <f>C11/D11</f>
        <v>0.66790682414187541</v>
      </c>
      <c r="D25" s="447"/>
      <c r="E25" s="449"/>
    </row>
    <row r="26" spans="2:9" ht="18.75">
      <c r="B26" s="464" t="s">
        <v>239</v>
      </c>
      <c r="C26" s="473">
        <f>(1-0.0419)*(1+0.1382)</f>
        <v>1.0905094199999998</v>
      </c>
      <c r="D26" s="447"/>
      <c r="E26" s="449"/>
    </row>
    <row r="27" spans="2:9" ht="5.0999999999999996" customHeight="1">
      <c r="B27" s="465"/>
      <c r="C27" s="462"/>
      <c r="D27" s="462"/>
      <c r="E27" s="462"/>
    </row>
    <row r="28" spans="2:9" s="21" customFormat="1" ht="18.75">
      <c r="B28" s="464" t="s">
        <v>240</v>
      </c>
      <c r="C28" s="470">
        <f>C23*C25*C26</f>
        <v>226552982.0656344</v>
      </c>
      <c r="D28" s="462"/>
      <c r="E28" s="462"/>
      <c r="F28" s="462"/>
      <c r="G28" s="371"/>
    </row>
    <row r="29" spans="2:9" ht="5.0999999999999996" customHeight="1">
      <c r="B29" s="467"/>
      <c r="C29"/>
    </row>
    <row r="30" spans="2:9" ht="18.75">
      <c r="B30" s="464" t="s">
        <v>241</v>
      </c>
      <c r="C30" s="470">
        <f>C28-Índices_2025!F40</f>
        <v>21735710.05563435</v>
      </c>
      <c r="D30" s="458"/>
      <c r="E30" s="459"/>
      <c r="G30" s="386"/>
    </row>
    <row r="31" spans="2:9" ht="5.0999999999999996" customHeight="1">
      <c r="B31" s="465"/>
      <c r="C31" s="458"/>
      <c r="D31" s="458"/>
      <c r="E31" s="459"/>
      <c r="G31" s="387"/>
      <c r="H31" s="18"/>
    </row>
    <row r="32" spans="2:9" ht="18.75">
      <c r="B32" s="464" t="s">
        <v>242</v>
      </c>
      <c r="C32" s="484">
        <f>C30/C28</f>
        <v>9.5940957640263252E-2</v>
      </c>
      <c r="D32" s="458"/>
      <c r="E32" s="460"/>
      <c r="F32" s="71"/>
      <c r="G32" s="23"/>
      <c r="H32" s="23"/>
      <c r="I32" s="23"/>
    </row>
    <row r="33" spans="2:7" ht="5.0999999999999996" customHeight="1">
      <c r="B33" s="465"/>
      <c r="C33" s="458"/>
      <c r="D33" s="458"/>
      <c r="E33" s="459"/>
      <c r="G33" s="387"/>
    </row>
    <row r="34" spans="2:7" ht="18.75">
      <c r="B34" s="464" t="s">
        <v>243</v>
      </c>
      <c r="C34" s="474">
        <f>C32*C30</f>
        <v>2085344.8377286592</v>
      </c>
      <c r="D34" s="23"/>
      <c r="G34" s="177"/>
    </row>
    <row r="35" spans="2:7" ht="15">
      <c r="D35" s="463"/>
    </row>
    <row r="36" spans="2:7" ht="15">
      <c r="D36" s="23"/>
    </row>
    <row r="37" spans="2:7" ht="15">
      <c r="D37" s="23"/>
    </row>
    <row r="38" spans="2:7" ht="15">
      <c r="D38" s="23"/>
      <c r="E38" s="174"/>
      <c r="F38" s="174"/>
    </row>
    <row r="39" spans="2:7" ht="15">
      <c r="D39" s="23"/>
      <c r="E39" s="174"/>
      <c r="F39" s="174"/>
    </row>
    <row r="40" spans="2:7" ht="15" hidden="1">
      <c r="D40" s="23"/>
    </row>
    <row r="41" spans="2:7" ht="15" hidden="1" customHeight="1">
      <c r="D41" s="23"/>
    </row>
    <row r="42" spans="2:7" ht="15" hidden="1" customHeight="1">
      <c r="D42" s="23"/>
    </row>
    <row r="43" spans="2:7" ht="15" hidden="1" customHeight="1">
      <c r="D43" s="23"/>
    </row>
    <row r="44" spans="2:7" ht="15" hidden="1" customHeight="1">
      <c r="D44" s="23"/>
    </row>
    <row r="45" spans="2:7" ht="15" hidden="1">
      <c r="D45" s="23"/>
    </row>
    <row r="46" spans="2:7" ht="15" hidden="1">
      <c r="D46" s="23"/>
    </row>
    <row r="47" spans="2:7" ht="15" hidden="1"/>
    <row r="48" spans="2:7" ht="15" hidden="1"/>
    <row r="49" ht="15" hidden="1"/>
    <row r="50" ht="15" hidden="1"/>
    <row r="51" ht="15" hidden="1"/>
    <row r="52" ht="15" hidden="1"/>
    <row r="53" ht="15" hidden="1"/>
    <row r="54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3" tint="-0.499984740745262"/>
  </sheetPr>
  <dimension ref="A1:P43"/>
  <sheetViews>
    <sheetView showGridLines="0" topLeftCell="A4" zoomScale="90" zoomScaleNormal="90" workbookViewId="0">
      <selection activeCell="J17" sqref="J17"/>
    </sheetView>
  </sheetViews>
  <sheetFormatPr defaultColWidth="0" defaultRowHeight="15" zeroHeight="1"/>
  <cols>
    <col min="1" max="1" width="11.28515625" style="9" customWidth="1"/>
    <col min="2" max="2" width="37.5703125" style="9" customWidth="1"/>
    <col min="3" max="3" width="19.5703125" style="9" customWidth="1"/>
    <col min="4" max="5" width="14.5703125" style="9" customWidth="1"/>
    <col min="6" max="6" width="21.28515625" style="9" customWidth="1"/>
    <col min="7" max="7" width="20.28515625" style="9" customWidth="1"/>
    <col min="8" max="8" width="20.7109375" style="9" bestFit="1" customWidth="1"/>
    <col min="9" max="10" width="18.7109375" customWidth="1"/>
    <col min="11" max="11" width="25.5703125" customWidth="1"/>
    <col min="12" max="12" width="17.42578125" bestFit="1" customWidth="1"/>
    <col min="13" max="13" width="9.140625" customWidth="1"/>
    <col min="14" max="14" width="9.5703125" customWidth="1"/>
    <col min="15" max="15" width="4.42578125" hidden="1" customWidth="1"/>
    <col min="16" max="16" width="10" hidden="1" customWidth="1"/>
    <col min="17" max="16384" width="9.140625" hidden="1"/>
  </cols>
  <sheetData>
    <row r="1" spans="1:16" s="9" customFormat="1" ht="3" customHeight="1"/>
    <row r="2" spans="1:16" s="9" customFormat="1" ht="14.25" customHeight="1"/>
    <row r="3" spans="1:16" s="9" customFormat="1" ht="18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s="9" customFormat="1" ht="14.2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</row>
    <row r="5" spans="1:16" s="9" customFormat="1" ht="20.100000000000001" customHeigh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1:16" s="9" customFormat="1" ht="14.25"/>
    <row r="7" spans="1:16" s="10" customFormat="1" ht="18.75">
      <c r="B7" s="121" t="s">
        <v>244</v>
      </c>
      <c r="C7" s="121"/>
      <c r="D7" s="121"/>
      <c r="E7" s="121"/>
      <c r="F7" s="121"/>
      <c r="G7" s="121"/>
      <c r="H7" s="121"/>
    </row>
    <row r="8" spans="1:16" s="10" customFormat="1" ht="18.75">
      <c r="B8" s="121"/>
      <c r="C8" s="121"/>
      <c r="D8" s="121"/>
      <c r="E8" s="121"/>
      <c r="F8" s="121"/>
      <c r="G8" s="121"/>
      <c r="H8" s="121"/>
    </row>
    <row r="9" spans="1:16" s="10" customFormat="1" ht="18.95" customHeight="1">
      <c r="B9" s="497"/>
      <c r="C9" s="497"/>
      <c r="D9" s="497"/>
      <c r="E9" s="208" t="s">
        <v>245</v>
      </c>
      <c r="F9" s="208" t="s">
        <v>246</v>
      </c>
      <c r="G9" s="121"/>
      <c r="H9" s="121"/>
    </row>
    <row r="10" spans="1:16" s="10" customFormat="1" ht="18.75">
      <c r="B10" s="500" t="s">
        <v>247</v>
      </c>
      <c r="C10" s="500"/>
      <c r="D10" s="196" t="s">
        <v>185</v>
      </c>
      <c r="E10" s="294">
        <v>124041223.33637901</v>
      </c>
      <c r="F10" s="294">
        <f>'VPA 2026'!C31</f>
        <v>128383228.17865776</v>
      </c>
      <c r="G10" s="121"/>
      <c r="H10" s="121"/>
      <c r="I10" s="158"/>
      <c r="J10" s="158"/>
    </row>
    <row r="11" spans="1:16" s="10" customFormat="1" ht="18.75">
      <c r="B11" s="500" t="s">
        <v>248</v>
      </c>
      <c r="C11" s="500"/>
      <c r="D11" s="196" t="s">
        <v>249</v>
      </c>
      <c r="E11" s="294">
        <v>12541135.384</v>
      </c>
      <c r="F11" s="294">
        <f>'Bônus-Desconto'!K16</f>
        <v>13628488.816</v>
      </c>
      <c r="G11" s="121"/>
      <c r="H11" s="121"/>
      <c r="I11" s="158"/>
      <c r="J11" s="158"/>
    </row>
    <row r="12" spans="1:16" s="10" customFormat="1" ht="18.75">
      <c r="B12" s="500" t="s">
        <v>250</v>
      </c>
      <c r="C12" s="500"/>
      <c r="D12" s="196" t="s">
        <v>251</v>
      </c>
      <c r="E12" s="294">
        <v>2100560734.5709937</v>
      </c>
      <c r="F12" s="294">
        <f>'VPB 2026'!C27*F15</f>
        <v>2178226463.1932836</v>
      </c>
      <c r="G12" s="159"/>
      <c r="H12" s="323"/>
      <c r="I12" s="158"/>
      <c r="J12" s="158"/>
    </row>
    <row r="13" spans="1:16" s="10" customFormat="1" ht="18.75">
      <c r="B13" s="500" t="s">
        <v>252</v>
      </c>
      <c r="C13" s="500"/>
      <c r="D13" s="196" t="s">
        <v>253</v>
      </c>
      <c r="E13" s="295">
        <v>12387067.689912466</v>
      </c>
      <c r="F13" s="295">
        <f>'CF - 2026'!P33</f>
        <v>40356439.558946535</v>
      </c>
      <c r="G13" s="159"/>
      <c r="H13" s="160"/>
      <c r="I13" s="158"/>
      <c r="J13" s="158"/>
    </row>
    <row r="14" spans="1:16" s="10" customFormat="1" ht="18.75">
      <c r="B14" s="501" t="s">
        <v>254</v>
      </c>
      <c r="C14" s="501"/>
      <c r="D14" s="257" t="s">
        <v>255</v>
      </c>
      <c r="E14" s="295">
        <v>2249530160.9812851</v>
      </c>
      <c r="F14" s="295">
        <f>SUM(F10:F13)</f>
        <v>2360594619.7468882</v>
      </c>
      <c r="G14" s="311"/>
      <c r="H14" s="311"/>
      <c r="I14" s="161"/>
      <c r="J14" s="161"/>
    </row>
    <row r="15" spans="1:16" s="10" customFormat="1" ht="18.75">
      <c r="B15" s="501" t="s">
        <v>256</v>
      </c>
      <c r="C15" s="501"/>
      <c r="D15" s="257" t="s">
        <v>123</v>
      </c>
      <c r="E15" s="295">
        <v>313860355.31000006</v>
      </c>
      <c r="F15" s="295">
        <f>'VPA 2026'!C13</f>
        <v>321293750.14999998</v>
      </c>
      <c r="G15" s="121"/>
      <c r="H15" s="160"/>
      <c r="I15" s="158"/>
      <c r="J15" s="161"/>
    </row>
    <row r="16" spans="1:16" s="10" customFormat="1" ht="18.75">
      <c r="B16" s="190" t="s">
        <v>257</v>
      </c>
      <c r="C16" s="95"/>
      <c r="D16" s="78"/>
      <c r="E16" s="79"/>
      <c r="F16" s="12"/>
      <c r="G16" s="121"/>
      <c r="H16" s="121"/>
      <c r="I16" s="158"/>
      <c r="J16" s="158"/>
    </row>
    <row r="17" spans="1:12" s="10" customFormat="1" ht="18.75">
      <c r="B17" s="355" t="s">
        <v>258</v>
      </c>
      <c r="C17" s="133"/>
      <c r="D17" s="78"/>
      <c r="E17" s="79"/>
      <c r="F17" s="9"/>
      <c r="G17" s="121"/>
      <c r="H17" s="160"/>
      <c r="I17" s="316"/>
      <c r="J17" s="316"/>
      <c r="K17" s="9"/>
      <c r="L17" s="9"/>
    </row>
    <row r="18" spans="1:12" s="11" customFormat="1" ht="18.75">
      <c r="B18" s="9"/>
      <c r="C18" s="9"/>
      <c r="D18" s="9"/>
      <c r="E18" s="9"/>
      <c r="F18" s="9"/>
      <c r="G18" s="9"/>
      <c r="H18" s="311"/>
      <c r="I18" s="158"/>
      <c r="J18" s="377"/>
      <c r="K18" s="12"/>
      <c r="L18" s="12"/>
    </row>
    <row r="19" spans="1:12" s="11" customFormat="1" ht="18.95" customHeight="1">
      <c r="B19" s="497" t="s">
        <v>259</v>
      </c>
      <c r="C19" s="497"/>
      <c r="D19" s="208" t="s">
        <v>260</v>
      </c>
      <c r="E19" s="215" t="s">
        <v>261</v>
      </c>
      <c r="F19" s="22"/>
      <c r="H19" s="311"/>
      <c r="I19" s="158"/>
      <c r="J19" s="161"/>
      <c r="K19" s="12"/>
      <c r="L19" s="9"/>
    </row>
    <row r="20" spans="1:12" s="11" customFormat="1" ht="17.100000000000001" customHeight="1">
      <c r="B20" s="198" t="s">
        <v>262</v>
      </c>
      <c r="C20" s="199" t="s">
        <v>263</v>
      </c>
      <c r="D20" s="296">
        <f>E10/E15</f>
        <v>0.39521150485496459</v>
      </c>
      <c r="E20" s="296">
        <f>F10/F15</f>
        <v>0.39958208996820027</v>
      </c>
      <c r="F20" s="382"/>
      <c r="H20" s="311"/>
      <c r="I20" s="303"/>
      <c r="J20" s="379"/>
      <c r="K20" s="165"/>
      <c r="L20" s="9"/>
    </row>
    <row r="21" spans="1:12" s="11" customFormat="1" ht="17.100000000000001" customHeight="1">
      <c r="B21" s="198" t="s">
        <v>264</v>
      </c>
      <c r="C21" s="199" t="s">
        <v>265</v>
      </c>
      <c r="D21" s="296">
        <f>E11/E15</f>
        <v>3.9957691921979482E-2</v>
      </c>
      <c r="E21" s="296">
        <f>F11/F15</f>
        <v>4.2417534762619474E-2</v>
      </c>
      <c r="F21" s="354"/>
      <c r="G21" s="382"/>
      <c r="H21" s="390"/>
      <c r="I21" s="303"/>
      <c r="J21" s="379"/>
      <c r="K21" s="165"/>
      <c r="L21" s="9"/>
    </row>
    <row r="22" spans="1:12" s="11" customFormat="1" ht="17.100000000000001" customHeight="1">
      <c r="B22" s="198" t="s">
        <v>266</v>
      </c>
      <c r="C22" s="199" t="s">
        <v>267</v>
      </c>
      <c r="D22" s="296">
        <f>E12/E15</f>
        <v>6.6926602835718727</v>
      </c>
      <c r="E22" s="296">
        <f>F12/F15</f>
        <v>6.7795481928184147</v>
      </c>
      <c r="F22" s="382"/>
      <c r="G22" s="390"/>
      <c r="H22" s="390"/>
      <c r="I22" s="303"/>
      <c r="J22" s="379"/>
      <c r="K22" s="380"/>
      <c r="L22" s="9"/>
    </row>
    <row r="23" spans="1:12" s="11" customFormat="1" ht="17.100000000000001" customHeight="1">
      <c r="B23" s="198" t="s">
        <v>268</v>
      </c>
      <c r="C23" s="199" t="s">
        <v>269</v>
      </c>
      <c r="D23" s="296">
        <f>E13/E15</f>
        <v>3.9466812167716282E-2</v>
      </c>
      <c r="E23" s="296">
        <f>F13/F15</f>
        <v>0.12560605221889823</v>
      </c>
      <c r="F23" s="382"/>
      <c r="G23" s="390"/>
      <c r="H23" s="390"/>
      <c r="I23" s="303"/>
      <c r="J23" s="379"/>
      <c r="K23" s="165"/>
      <c r="L23" s="9"/>
    </row>
    <row r="24" spans="1:12" s="11" customFormat="1" ht="17.100000000000001" customHeight="1">
      <c r="B24" s="497" t="s">
        <v>270</v>
      </c>
      <c r="C24" s="497"/>
      <c r="D24" s="297">
        <f>SUM(D20:D23)</f>
        <v>7.1672962925165331</v>
      </c>
      <c r="E24" s="297">
        <f>SUM(E20:E23)</f>
        <v>7.3471538697681327</v>
      </c>
      <c r="F24" s="17"/>
      <c r="G24" s="304"/>
      <c r="H24" s="304"/>
      <c r="I24" s="303"/>
      <c r="J24" s="303"/>
      <c r="K24" s="9"/>
      <c r="L24" s="17"/>
    </row>
    <row r="25" spans="1:12" s="194" customFormat="1" ht="15.75">
      <c r="A25" s="12"/>
      <c r="B25" s="498" t="s">
        <v>271</v>
      </c>
      <c r="C25" s="499"/>
      <c r="D25" s="496">
        <f>E24/D24-1</f>
        <v>2.5094201482836809E-2</v>
      </c>
      <c r="E25" s="496"/>
      <c r="F25" s="375"/>
      <c r="G25" s="17"/>
      <c r="H25" s="318"/>
      <c r="I25" s="17"/>
      <c r="J25" s="9"/>
      <c r="K25" s="17"/>
      <c r="L25" s="193"/>
    </row>
    <row r="26" spans="1:12" s="193" customFormat="1" ht="6" customHeight="1">
      <c r="A26" s="9"/>
      <c r="B26" s="108"/>
      <c r="C26" s="108"/>
      <c r="D26" s="164"/>
      <c r="E26" s="108"/>
      <c r="F26" s="108"/>
      <c r="G26" s="108"/>
      <c r="H26" s="72"/>
      <c r="I26" s="12"/>
      <c r="J26" s="9"/>
      <c r="K26" s="9"/>
    </row>
    <row r="27" spans="1:12" s="9" customFormat="1" ht="17.100000000000001" customHeight="1">
      <c r="E27" s="165"/>
      <c r="F27" s="319"/>
      <c r="G27" s="381"/>
      <c r="H27" s="1"/>
      <c r="I27" s="165"/>
      <c r="J27"/>
      <c r="K27" s="26"/>
      <c r="L27"/>
    </row>
    <row r="28" spans="1:12" s="9" customFormat="1" ht="17.100000000000001" customHeight="1">
      <c r="F28" s="110"/>
      <c r="G28" s="110"/>
      <c r="H28" s="317"/>
      <c r="I28" s="17"/>
      <c r="J28"/>
      <c r="K28"/>
      <c r="L28"/>
    </row>
    <row r="29" spans="1:12" s="9" customFormat="1" ht="16.5" customHeight="1">
      <c r="F29" s="110"/>
      <c r="G29" s="110"/>
      <c r="H29" s="107"/>
      <c r="I29" s="79"/>
      <c r="J29"/>
      <c r="K29"/>
      <c r="L29"/>
    </row>
    <row r="30" spans="1:12" s="9" customFormat="1">
      <c r="F30" s="110"/>
      <c r="G30" s="110"/>
      <c r="H30"/>
      <c r="I30" s="68"/>
      <c r="J30" s="73"/>
      <c r="K30"/>
      <c r="L30"/>
    </row>
    <row r="31" spans="1:12" s="9" customFormat="1">
      <c r="F31" s="109"/>
      <c r="G31" s="109"/>
      <c r="H31"/>
      <c r="I31" s="142"/>
      <c r="J31" s="76"/>
      <c r="K31" s="26"/>
      <c r="L31"/>
    </row>
    <row r="32" spans="1:12" s="12" customFormat="1" ht="19.5">
      <c r="B32" s="9"/>
      <c r="C32" s="9"/>
      <c r="D32" s="9"/>
      <c r="E32" s="9"/>
      <c r="F32" s="109"/>
      <c r="G32" s="109"/>
      <c r="H32" s="77"/>
      <c r="I32" s="142"/>
      <c r="J32" s="77"/>
      <c r="K32" s="80"/>
      <c r="L32"/>
    </row>
    <row r="33" spans="1:11">
      <c r="A33" s="1"/>
      <c r="F33" s="108"/>
      <c r="G33" s="108"/>
      <c r="H33" s="73"/>
      <c r="I33" s="140"/>
      <c r="K33" s="80"/>
    </row>
    <row r="34" spans="1:11" ht="19.5">
      <c r="A34" s="1"/>
      <c r="H34" s="75"/>
    </row>
    <row r="35" spans="1:11">
      <c r="A35" s="1"/>
    </row>
    <row r="36" spans="1:11">
      <c r="A36" s="1"/>
      <c r="I36" s="141"/>
    </row>
    <row r="37" spans="1:11" ht="19.5" hidden="1">
      <c r="A37" s="1"/>
      <c r="I37" s="74"/>
    </row>
    <row r="38" spans="1:11" ht="19.5" hidden="1">
      <c r="A38" s="1"/>
      <c r="I38" s="74"/>
    </row>
    <row r="39" spans="1:11" hidden="1">
      <c r="A39" s="1"/>
    </row>
    <row r="40" spans="1:11" hidden="1">
      <c r="A40" s="1"/>
    </row>
    <row r="41" spans="1:11" ht="21" hidden="1" customHeight="1">
      <c r="A41" s="1"/>
    </row>
    <row r="42" spans="1:11" ht="21.75" hidden="1" customHeight="1"/>
    <row r="43" spans="1:11" hidden="1">
      <c r="D43" s="165"/>
    </row>
  </sheetData>
  <mergeCells count="11">
    <mergeCell ref="D25:E25"/>
    <mergeCell ref="B9:D9"/>
    <mergeCell ref="B19:C19"/>
    <mergeCell ref="B24:C24"/>
    <mergeCell ref="B25:C25"/>
    <mergeCell ref="B10:C10"/>
    <mergeCell ref="B11:C11"/>
    <mergeCell ref="B12:C12"/>
    <mergeCell ref="B13:C13"/>
    <mergeCell ref="B14:C14"/>
    <mergeCell ref="B15:C15"/>
  </mergeCells>
  <phoneticPr fontId="31" type="noConversion"/>
  <hyperlinks>
    <hyperlink ref="B17" r:id="rId1" display="Disponível em: Nota Técnica N.º 11/2021 - ADASA/SEF/COEE " xr:uid="{53473FA6-8AD2-472F-9182-F2A17866B92B}"/>
  </hyperlinks>
  <pageMargins left="0.511811024" right="0.511811024" top="0.78740157499999996" bottom="0.78740157499999996" header="0.31496062000000002" footer="0.31496062000000002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6D34-D179-494C-A9BD-C8E28890E664}">
  <sheetPr>
    <tabColor theme="3"/>
  </sheetPr>
  <dimension ref="A1:Q54"/>
  <sheetViews>
    <sheetView showGridLines="0" zoomScale="90" zoomScaleNormal="90" workbookViewId="0">
      <selection activeCell="B6" sqref="B6"/>
    </sheetView>
  </sheetViews>
  <sheetFormatPr defaultColWidth="0" defaultRowHeight="15" customHeight="1" zeroHeight="1"/>
  <cols>
    <col min="1" max="1" width="3.42578125" customWidth="1"/>
    <col min="2" max="2" width="24.140625" customWidth="1"/>
    <col min="3" max="3" width="19.28515625" style="13" customWidth="1"/>
    <col min="4" max="4" width="20.7109375" customWidth="1"/>
    <col min="5" max="5" width="21.140625" bestFit="1" customWidth="1"/>
    <col min="6" max="7" width="16.28515625" bestFit="1" customWidth="1"/>
    <col min="8" max="8" width="17.28515625" customWidth="1"/>
    <col min="9" max="14" width="16.28515625" bestFit="1" customWidth="1"/>
    <col min="15" max="15" width="19.28515625" customWidth="1"/>
    <col min="16" max="16" width="2.7109375" customWidth="1"/>
    <col min="17" max="16384" width="3" hidden="1"/>
  </cols>
  <sheetData>
    <row r="1" spans="1:17" ht="3" customHeight="1"/>
    <row r="2" spans="1:17"/>
    <row r="3" spans="1:17">
      <c r="A3" s="83"/>
      <c r="B3" s="83"/>
      <c r="C3" s="105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>
      <c r="A4" s="83"/>
      <c r="B4" s="83"/>
      <c r="C4" s="105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ht="20.100000000000001" customHeight="1">
      <c r="A5" s="83"/>
      <c r="B5" s="83"/>
      <c r="C5" s="105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7"/>
    <row r="7" spans="1:17" ht="18.75">
      <c r="B7" s="111"/>
      <c r="C7" s="102"/>
    </row>
    <row r="8" spans="1:17" ht="10.5" customHeight="1">
      <c r="I8" s="321"/>
    </row>
    <row r="9" spans="1:17">
      <c r="B9" s="435" t="s">
        <v>272</v>
      </c>
      <c r="C9" s="436"/>
      <c r="D9" s="436"/>
      <c r="E9" s="437"/>
      <c r="F9" s="388"/>
      <c r="G9" s="388"/>
      <c r="H9" s="315"/>
      <c r="I9" s="315"/>
      <c r="J9" s="315"/>
      <c r="K9" s="315"/>
      <c r="L9" s="315"/>
      <c r="M9" s="179"/>
      <c r="N9" s="179"/>
      <c r="O9" s="179"/>
      <c r="P9" s="18"/>
    </row>
    <row r="10" spans="1:17">
      <c r="B10" s="262" t="s">
        <v>74</v>
      </c>
      <c r="C10" s="263" t="s">
        <v>75</v>
      </c>
      <c r="D10" s="264" t="s">
        <v>273</v>
      </c>
      <c r="E10" s="264" t="s">
        <v>274</v>
      </c>
      <c r="F10" s="178"/>
      <c r="G10" s="178"/>
      <c r="H10" s="178"/>
      <c r="I10" s="178"/>
      <c r="J10" s="178"/>
      <c r="K10" s="178"/>
      <c r="L10" s="178"/>
      <c r="M10" s="178"/>
      <c r="N10" s="103"/>
    </row>
    <row r="11" spans="1:17">
      <c r="B11" s="368" t="s">
        <v>275</v>
      </c>
      <c r="C11" s="372" t="s">
        <v>276</v>
      </c>
      <c r="D11" s="322">
        <v>36987</v>
      </c>
      <c r="E11" s="370">
        <v>556919.15</v>
      </c>
      <c r="F11" s="18"/>
      <c r="G11" s="321"/>
      <c r="I11" s="18"/>
      <c r="J11" s="18"/>
      <c r="K11" s="3"/>
    </row>
    <row r="12" spans="1:17">
      <c r="B12" s="368" t="s">
        <v>275</v>
      </c>
      <c r="C12" s="372" t="s">
        <v>77</v>
      </c>
      <c r="D12" s="322">
        <v>36359</v>
      </c>
      <c r="E12" s="370">
        <v>1023434.97</v>
      </c>
      <c r="F12" s="18"/>
      <c r="G12" s="321"/>
      <c r="I12" s="18"/>
      <c r="J12" s="18"/>
      <c r="K12" s="3"/>
    </row>
    <row r="13" spans="1:17">
      <c r="B13" s="368" t="s">
        <v>275</v>
      </c>
      <c r="C13" s="372" t="s">
        <v>78</v>
      </c>
      <c r="D13" s="322">
        <v>17970</v>
      </c>
      <c r="E13" s="370">
        <v>938975.26</v>
      </c>
      <c r="F13" s="18"/>
      <c r="G13" s="321"/>
      <c r="I13" s="18"/>
      <c r="J13" s="18"/>
      <c r="K13" s="3"/>
    </row>
    <row r="14" spans="1:17">
      <c r="B14" s="368" t="s">
        <v>275</v>
      </c>
      <c r="C14" s="372" t="s">
        <v>277</v>
      </c>
      <c r="D14" s="322">
        <v>6173</v>
      </c>
      <c r="E14" s="370">
        <v>620297.31000000006</v>
      </c>
      <c r="F14" s="18"/>
      <c r="G14" s="321"/>
      <c r="I14" s="18"/>
      <c r="J14" s="18"/>
      <c r="K14" s="3"/>
    </row>
    <row r="15" spans="1:17">
      <c r="B15" s="368" t="s">
        <v>275</v>
      </c>
      <c r="C15" s="372" t="s">
        <v>80</v>
      </c>
      <c r="D15" s="369">
        <v>1256</v>
      </c>
      <c r="E15" s="370">
        <v>329670.38</v>
      </c>
      <c r="F15" s="18"/>
      <c r="G15" s="321"/>
      <c r="I15" s="18"/>
      <c r="J15" s="18"/>
      <c r="K15" s="3"/>
    </row>
    <row r="16" spans="1:17">
      <c r="B16" s="368" t="s">
        <v>275</v>
      </c>
      <c r="C16" s="372" t="s">
        <v>278</v>
      </c>
      <c r="D16" s="368">
        <v>451</v>
      </c>
      <c r="E16" s="370">
        <v>848701.5</v>
      </c>
      <c r="F16" s="18"/>
      <c r="G16" s="321"/>
      <c r="I16" s="18"/>
      <c r="J16" s="18"/>
      <c r="K16" s="3"/>
    </row>
    <row r="17" spans="2:8">
      <c r="B17" s="286" t="s">
        <v>275</v>
      </c>
      <c r="C17" s="389" t="s">
        <v>279</v>
      </c>
      <c r="D17" s="287">
        <f>SUM(D11:D16)</f>
        <v>99196</v>
      </c>
      <c r="E17" s="287">
        <f>SUM(E11:E16)</f>
        <v>4317998.57</v>
      </c>
    </row>
    <row r="18" spans="2:8">
      <c r="D18" s="178"/>
      <c r="E18" s="178"/>
      <c r="F18" s="178"/>
      <c r="G18" s="178"/>
    </row>
    <row r="19" spans="2:8">
      <c r="B19" s="435" t="s">
        <v>280</v>
      </c>
      <c r="C19" s="436"/>
      <c r="D19" s="436"/>
      <c r="E19" s="437"/>
      <c r="F19" s="388"/>
      <c r="G19" s="388"/>
    </row>
    <row r="20" spans="2:8">
      <c r="B20" s="262" t="s">
        <v>74</v>
      </c>
      <c r="C20" s="263" t="s">
        <v>75</v>
      </c>
      <c r="D20" s="264" t="s">
        <v>273</v>
      </c>
      <c r="E20" s="264" t="s">
        <v>274</v>
      </c>
    </row>
    <row r="21" spans="2:8">
      <c r="B21" s="368" t="s">
        <v>275</v>
      </c>
      <c r="C21" s="372" t="s">
        <v>276</v>
      </c>
      <c r="D21" s="369">
        <v>33204</v>
      </c>
      <c r="E21" s="370">
        <v>485525.49</v>
      </c>
    </row>
    <row r="22" spans="2:8">
      <c r="B22" s="368" t="s">
        <v>275</v>
      </c>
      <c r="C22" s="372" t="s">
        <v>77</v>
      </c>
      <c r="D22" s="369">
        <v>33228</v>
      </c>
      <c r="E22" s="370">
        <v>892717.38</v>
      </c>
    </row>
    <row r="23" spans="2:8">
      <c r="B23" s="368" t="s">
        <v>275</v>
      </c>
      <c r="C23" s="372" t="s">
        <v>78</v>
      </c>
      <c r="D23" s="369">
        <v>15717</v>
      </c>
      <c r="E23" s="370">
        <v>777475.49</v>
      </c>
      <c r="G23" s="359"/>
      <c r="H23" s="358"/>
    </row>
    <row r="24" spans="2:8">
      <c r="B24" s="368" t="s">
        <v>275</v>
      </c>
      <c r="C24" s="372" t="s">
        <v>277</v>
      </c>
      <c r="D24" s="369">
        <v>5111</v>
      </c>
      <c r="E24" s="370">
        <v>483668.52</v>
      </c>
      <c r="G24" s="359"/>
      <c r="H24" s="360"/>
    </row>
    <row r="25" spans="2:8">
      <c r="B25" s="368" t="s">
        <v>275</v>
      </c>
      <c r="C25" s="372" t="s">
        <v>80</v>
      </c>
      <c r="D25" s="368">
        <v>965</v>
      </c>
      <c r="E25" s="370">
        <v>239522.01</v>
      </c>
    </row>
    <row r="26" spans="2:8">
      <c r="B26" s="368" t="s">
        <v>275</v>
      </c>
      <c r="C26" s="372" t="s">
        <v>278</v>
      </c>
      <c r="D26" s="368">
        <v>340</v>
      </c>
      <c r="E26" s="370">
        <v>597592.34</v>
      </c>
    </row>
    <row r="27" spans="2:8">
      <c r="B27" s="286" t="s">
        <v>275</v>
      </c>
      <c r="C27" s="389" t="s">
        <v>279</v>
      </c>
      <c r="D27" s="287">
        <f>SUM(D21:D26)</f>
        <v>88565</v>
      </c>
      <c r="E27" s="287">
        <f>SUM(E21:E26)</f>
        <v>3476501.2300000004</v>
      </c>
    </row>
    <row r="28" spans="2:8" s="21" customFormat="1">
      <c r="B28" s="184" t="s">
        <v>281</v>
      </c>
      <c r="C28" s="371"/>
      <c r="D28" s="371"/>
      <c r="E28" s="371"/>
      <c r="F28" s="371"/>
      <c r="G28" s="371"/>
    </row>
    <row r="29" spans="2:8">
      <c r="C29"/>
    </row>
    <row r="30" spans="2:8">
      <c r="B30" s="429" t="s">
        <v>282</v>
      </c>
      <c r="C30" s="430"/>
      <c r="D30" s="431"/>
      <c r="E30" s="373">
        <f>E17+E27</f>
        <v>7794499.8000000007</v>
      </c>
      <c r="G30" s="386"/>
    </row>
    <row r="31" spans="2:8">
      <c r="B31" s="429" t="s">
        <v>283</v>
      </c>
      <c r="C31" s="430"/>
      <c r="D31" s="431"/>
      <c r="E31" s="302">
        <f>D17</f>
        <v>99196</v>
      </c>
      <c r="F31" s="71"/>
      <c r="G31" s="71"/>
      <c r="H31" s="18"/>
    </row>
    <row r="32" spans="2:8">
      <c r="B32" s="429" t="s">
        <v>284</v>
      </c>
      <c r="C32" s="430"/>
      <c r="D32" s="431"/>
      <c r="E32" s="373">
        <f>E30/E31</f>
        <v>78.576755111093192</v>
      </c>
      <c r="G32" s="387"/>
      <c r="H32" s="18"/>
    </row>
    <row r="33" spans="2:9">
      <c r="B33" s="429" t="s">
        <v>285</v>
      </c>
      <c r="C33" s="430"/>
      <c r="D33" s="431"/>
      <c r="E33" s="302">
        <v>60259</v>
      </c>
      <c r="F33" s="71"/>
      <c r="G33" s="23"/>
      <c r="H33" s="23"/>
      <c r="I33" s="23"/>
    </row>
    <row r="34" spans="2:9">
      <c r="B34" s="432" t="s">
        <v>286</v>
      </c>
      <c r="C34" s="433"/>
      <c r="D34" s="434"/>
      <c r="E34" s="374">
        <f>((E31-E33)*E32)*12</f>
        <v>36714517.365127631</v>
      </c>
      <c r="G34" s="387"/>
    </row>
    <row r="35" spans="2:9">
      <c r="D35" s="23"/>
      <c r="G35" s="177"/>
    </row>
    <row r="36" spans="2:9">
      <c r="D36" s="177"/>
    </row>
    <row r="37" spans="2:9">
      <c r="D37" s="23"/>
    </row>
    <row r="38" spans="2:9">
      <c r="D38" s="23"/>
    </row>
    <row r="39" spans="2:9">
      <c r="D39" s="23"/>
      <c r="E39" s="174"/>
      <c r="F39" s="174"/>
    </row>
    <row r="40" spans="2:9">
      <c r="D40" s="23"/>
      <c r="E40" s="174"/>
      <c r="F40" s="174"/>
    </row>
    <row r="41" spans="2:9" hidden="1">
      <c r="D41" s="23"/>
    </row>
    <row r="42" spans="2:9" ht="15" hidden="1" customHeight="1">
      <c r="D42" s="23"/>
    </row>
    <row r="43" spans="2:9" ht="15" hidden="1" customHeight="1">
      <c r="D43" s="23"/>
    </row>
    <row r="44" spans="2:9" ht="15" hidden="1" customHeight="1">
      <c r="D44" s="23"/>
    </row>
    <row r="45" spans="2:9" ht="15" hidden="1" customHeight="1">
      <c r="D45" s="23"/>
    </row>
    <row r="46" spans="2:9" hidden="1">
      <c r="D46" s="23"/>
    </row>
    <row r="47" spans="2:9" hidden="1">
      <c r="D47" s="23"/>
    </row>
    <row r="48" spans="2:9" hidden="1"/>
    <row r="49" hidden="1"/>
    <row r="50" hidden="1"/>
    <row r="51" hidden="1"/>
    <row r="52" hidden="1"/>
    <row r="53" hidden="1"/>
    <row r="54" hidden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F71C-B416-4DA0-B182-7DC5F8C4D8C1}">
  <sheetPr>
    <tabColor theme="3" tint="-0.499984740745262"/>
  </sheetPr>
  <dimension ref="A1:T63"/>
  <sheetViews>
    <sheetView showGridLines="0" topLeftCell="A12" zoomScale="80" zoomScaleNormal="80" workbookViewId="0">
      <selection activeCell="N13" sqref="N13"/>
    </sheetView>
  </sheetViews>
  <sheetFormatPr defaultColWidth="0" defaultRowHeight="0" customHeight="1" zeroHeight="1"/>
  <cols>
    <col min="1" max="1" width="4.85546875" style="9" customWidth="1"/>
    <col min="2" max="3" width="16.28515625" style="9" customWidth="1"/>
    <col min="4" max="4" width="15.7109375" style="9" customWidth="1"/>
    <col min="5" max="5" width="16.28515625" style="9" customWidth="1"/>
    <col min="6" max="6" width="10.7109375" style="9" customWidth="1"/>
    <col min="7" max="7" width="10.7109375" customWidth="1"/>
    <col min="8" max="9" width="16.28515625" customWidth="1"/>
    <col min="10" max="10" width="15.7109375" customWidth="1"/>
    <col min="11" max="11" width="16.28515625" customWidth="1"/>
    <col min="12" max="13" width="10.7109375" customWidth="1"/>
    <col min="14" max="14" width="15.7109375" customWidth="1"/>
    <col min="15" max="15" width="16" bestFit="1" customWidth="1"/>
    <col min="16" max="16" width="5.28515625" customWidth="1"/>
    <col min="17" max="17" width="23.5703125" customWidth="1"/>
    <col min="18" max="18" width="4.140625" customWidth="1"/>
    <col min="19" max="19" width="9.140625" customWidth="1"/>
    <col min="20" max="20" width="7.85546875" customWidth="1"/>
    <col min="21" max="16384" width="9.140625" hidden="1"/>
  </cols>
  <sheetData>
    <row r="1" spans="1:20" s="9" customFormat="1" ht="3" customHeight="1"/>
    <row r="2" spans="1:20" s="9" customFormat="1" ht="14.25"/>
    <row r="3" spans="1:20" s="9" customFormat="1" ht="18">
      <c r="A3" s="122"/>
      <c r="B3" s="541"/>
      <c r="C3" s="541"/>
      <c r="D3" s="541"/>
      <c r="E3" s="541"/>
      <c r="F3" s="541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0" s="9" customFormat="1" ht="14.2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1:20" s="9" customFormat="1" ht="20.100000000000001" customHeigh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</row>
    <row r="6" spans="1:20" s="9" customFormat="1" ht="14.25"/>
    <row r="7" spans="1:20" s="10" customFormat="1" ht="18.75">
      <c r="B7" s="121" t="s">
        <v>287</v>
      </c>
      <c r="C7" s="11"/>
      <c r="D7" s="11"/>
    </row>
    <row r="8" spans="1:20" s="11" customFormat="1" ht="15" customHeight="1">
      <c r="B8" s="9"/>
      <c r="C8" s="9"/>
      <c r="D8" s="9"/>
      <c r="E8" s="9"/>
      <c r="F8" s="12"/>
    </row>
    <row r="9" spans="1:20" s="11" customFormat="1" ht="15" customHeight="1">
      <c r="A9" s="107"/>
      <c r="B9" s="543" t="s">
        <v>288</v>
      </c>
      <c r="C9" s="543"/>
      <c r="D9" s="543"/>
      <c r="E9" s="543"/>
      <c r="F9" s="115"/>
      <c r="H9" s="543" t="s">
        <v>289</v>
      </c>
      <c r="I9" s="543"/>
      <c r="J9" s="543"/>
      <c r="K9" s="543"/>
    </row>
    <row r="10" spans="1:20" s="11" customFormat="1" ht="15" customHeight="1">
      <c r="A10" s="107"/>
      <c r="B10" s="542" t="s">
        <v>290</v>
      </c>
      <c r="C10" s="542"/>
      <c r="D10" s="542"/>
      <c r="E10" s="542"/>
      <c r="F10" s="116"/>
      <c r="H10" s="542" t="s">
        <v>291</v>
      </c>
      <c r="I10" s="542"/>
      <c r="J10" s="542"/>
      <c r="K10" s="542"/>
    </row>
    <row r="11" spans="1:20" s="11" customFormat="1" ht="14.25">
      <c r="A11" s="107"/>
      <c r="B11" s="542"/>
      <c r="C11" s="542"/>
      <c r="D11" s="542"/>
      <c r="E11" s="542"/>
      <c r="F11" s="116"/>
      <c r="H11" s="542"/>
      <c r="I11" s="542"/>
      <c r="J11" s="542"/>
      <c r="K11" s="542"/>
    </row>
    <row r="12" spans="1:20" s="11" customFormat="1" ht="39.75" customHeight="1">
      <c r="A12" s="107"/>
      <c r="B12" s="298" t="s">
        <v>74</v>
      </c>
      <c r="C12" s="298" t="s">
        <v>292</v>
      </c>
      <c r="D12" s="298" t="s">
        <v>293</v>
      </c>
      <c r="E12" s="298" t="s">
        <v>294</v>
      </c>
      <c r="F12" s="116"/>
      <c r="H12" s="298" t="s">
        <v>74</v>
      </c>
      <c r="I12" s="298" t="s">
        <v>292</v>
      </c>
      <c r="J12" s="298" t="s">
        <v>293</v>
      </c>
      <c r="K12" s="298" t="s">
        <v>294</v>
      </c>
    </row>
    <row r="13" spans="1:20" s="11" customFormat="1" ht="14.25">
      <c r="A13" s="107"/>
      <c r="B13" s="537" t="s">
        <v>295</v>
      </c>
      <c r="C13" s="299" t="s">
        <v>76</v>
      </c>
      <c r="D13" s="544">
        <v>11.179831014950116</v>
      </c>
      <c r="E13" s="300">
        <v>4.1322277901062785</v>
      </c>
      <c r="F13" s="410"/>
      <c r="G13" s="418"/>
      <c r="H13" s="537" t="s">
        <v>295</v>
      </c>
      <c r="I13" s="299" t="s">
        <v>76</v>
      </c>
      <c r="J13" s="548">
        <f>D13*(1+$E$37)</f>
        <v>11.460379946983341</v>
      </c>
      <c r="K13" s="312">
        <f>E13*(1+$E$37)</f>
        <v>4.2359227468441834</v>
      </c>
      <c r="L13" s="384"/>
      <c r="M13" s="162"/>
    </row>
    <row r="14" spans="1:20" s="11" customFormat="1" ht="15" customHeight="1">
      <c r="A14" s="107"/>
      <c r="B14" s="537"/>
      <c r="C14" s="299" t="s">
        <v>77</v>
      </c>
      <c r="D14" s="545"/>
      <c r="E14" s="300">
        <v>4.9561382390538498</v>
      </c>
      <c r="F14" s="410"/>
      <c r="G14" s="180"/>
      <c r="H14" s="537"/>
      <c r="I14" s="299" t="s">
        <v>77</v>
      </c>
      <c r="J14" s="548"/>
      <c r="K14" s="312">
        <f>E14*(1+$E$37)</f>
        <v>5.0805085706014594</v>
      </c>
      <c r="L14" s="384"/>
      <c r="M14" s="162"/>
      <c r="O14" s="17"/>
    </row>
    <row r="15" spans="1:20" s="11" customFormat="1" ht="14.25">
      <c r="A15" s="107"/>
      <c r="B15" s="537"/>
      <c r="C15" s="299" t="s">
        <v>78</v>
      </c>
      <c r="D15" s="545"/>
      <c r="E15" s="300">
        <v>9.8235476605287282</v>
      </c>
      <c r="F15" s="410"/>
      <c r="G15" s="180"/>
      <c r="H15" s="537"/>
      <c r="I15" s="299" t="s">
        <v>78</v>
      </c>
      <c r="J15" s="548"/>
      <c r="K15" s="312">
        <f>E15*(1+$E$37)</f>
        <v>10.070061744798286</v>
      </c>
      <c r="L15" s="384"/>
      <c r="M15" s="162"/>
    </row>
    <row r="16" spans="1:20" s="9" customFormat="1" ht="15" customHeight="1">
      <c r="A16" s="108"/>
      <c r="B16" s="537"/>
      <c r="C16" s="299" t="s">
        <v>79</v>
      </c>
      <c r="D16" s="545"/>
      <c r="E16" s="300">
        <v>14.247312994108764</v>
      </c>
      <c r="F16" s="410"/>
      <c r="G16" s="182"/>
      <c r="H16" s="537"/>
      <c r="I16" s="299" t="s">
        <v>79</v>
      </c>
      <c r="J16" s="548"/>
      <c r="K16" s="312">
        <f>E16*(1+$E$37)</f>
        <v>14.604837936971968</v>
      </c>
      <c r="L16" s="380"/>
      <c r="M16" s="162"/>
    </row>
    <row r="17" spans="1:13" s="12" customFormat="1" ht="15" customHeight="1">
      <c r="A17" s="118"/>
      <c r="B17" s="537"/>
      <c r="C17" s="299" t="s">
        <v>80</v>
      </c>
      <c r="D17" s="545"/>
      <c r="E17" s="300">
        <v>21.370969491163144</v>
      </c>
      <c r="F17" s="411"/>
      <c r="G17" s="183"/>
      <c r="H17" s="537"/>
      <c r="I17" s="299" t="s">
        <v>80</v>
      </c>
      <c r="J17" s="548"/>
      <c r="K17" s="312">
        <f>E17*(1+$E$37)</f>
        <v>21.907256905457952</v>
      </c>
      <c r="L17" s="385"/>
      <c r="M17" s="162"/>
    </row>
    <row r="18" spans="1:13" s="12" customFormat="1" ht="15" customHeight="1">
      <c r="A18" s="118"/>
      <c r="B18" s="537"/>
      <c r="C18" s="299" t="s">
        <v>296</v>
      </c>
      <c r="D18" s="546"/>
      <c r="E18" s="300">
        <v>27.772119902217348</v>
      </c>
      <c r="F18" s="411"/>
      <c r="G18" s="183"/>
      <c r="H18" s="537"/>
      <c r="I18" s="299" t="s">
        <v>296</v>
      </c>
      <c r="J18" s="548"/>
      <c r="K18" s="312">
        <f t="shared" ref="K18:K34" si="0">E18*(1+$E$37)</f>
        <v>28.469039074649093</v>
      </c>
      <c r="L18" s="385"/>
      <c r="M18" s="162"/>
    </row>
    <row r="19" spans="1:13" s="9" customFormat="1" ht="15" customHeight="1">
      <c r="A19" s="108"/>
      <c r="B19" s="537" t="s">
        <v>49</v>
      </c>
      <c r="C19" s="299" t="s">
        <v>76</v>
      </c>
      <c r="D19" s="538">
        <v>5.5899155074750579</v>
      </c>
      <c r="E19" s="300">
        <v>2.0661138950531392</v>
      </c>
      <c r="F19" s="410"/>
      <c r="G19" s="181"/>
      <c r="H19" s="537" t="s">
        <v>49</v>
      </c>
      <c r="I19" s="299" t="s">
        <v>76</v>
      </c>
      <c r="J19" s="547">
        <f>D19*(1+$E$37)</f>
        <v>5.7301899734916706</v>
      </c>
      <c r="K19" s="312">
        <f t="shared" si="0"/>
        <v>2.1179613734220917</v>
      </c>
      <c r="L19" s="487"/>
      <c r="M19" s="162"/>
    </row>
    <row r="20" spans="1:13" s="9" customFormat="1" ht="15" customHeight="1">
      <c r="A20" s="108"/>
      <c r="B20" s="537"/>
      <c r="C20" s="299" t="s">
        <v>77</v>
      </c>
      <c r="D20" s="539"/>
      <c r="E20" s="300">
        <v>2.4844068922111364</v>
      </c>
      <c r="F20" s="412"/>
      <c r="G20" s="181"/>
      <c r="H20" s="537"/>
      <c r="I20" s="299" t="s">
        <v>77</v>
      </c>
      <c r="J20" s="547"/>
      <c r="K20" s="312">
        <f t="shared" si="0"/>
        <v>2.5467510993296312</v>
      </c>
      <c r="L20" s="487"/>
      <c r="M20" s="162"/>
    </row>
    <row r="21" spans="1:13" s="9" customFormat="1" ht="15" customHeight="1">
      <c r="A21" s="108"/>
      <c r="B21" s="537"/>
      <c r="C21" s="299" t="s">
        <v>78</v>
      </c>
      <c r="D21" s="539"/>
      <c r="E21" s="300">
        <v>4.918111602948577</v>
      </c>
      <c r="F21" s="412"/>
      <c r="G21" s="181"/>
      <c r="H21" s="537"/>
      <c r="I21" s="299" t="s">
        <v>78</v>
      </c>
      <c r="J21" s="547"/>
      <c r="K21" s="312">
        <f t="shared" si="0"/>
        <v>5.0415276864280463</v>
      </c>
      <c r="L21" s="487"/>
      <c r="M21" s="162"/>
    </row>
    <row r="22" spans="1:13" s="9" customFormat="1" ht="15" customHeight="1">
      <c r="A22" s="108"/>
      <c r="B22" s="537"/>
      <c r="C22" s="299" t="s">
        <v>79</v>
      </c>
      <c r="D22" s="539"/>
      <c r="E22" s="300">
        <v>7.1236564970543821</v>
      </c>
      <c r="F22" s="413"/>
      <c r="G22" s="181"/>
      <c r="H22" s="537"/>
      <c r="I22" s="299" t="s">
        <v>79</v>
      </c>
      <c r="J22" s="547"/>
      <c r="K22" s="312">
        <f t="shared" si="0"/>
        <v>7.3024189684859842</v>
      </c>
      <c r="L22" s="487"/>
      <c r="M22" s="162"/>
    </row>
    <row r="23" spans="1:13" s="9" customFormat="1" ht="15" customHeight="1">
      <c r="A23" s="108"/>
      <c r="B23" s="537"/>
      <c r="C23" s="299" t="s">
        <v>80</v>
      </c>
      <c r="D23" s="539"/>
      <c r="E23" s="300">
        <v>21.370969491163144</v>
      </c>
      <c r="F23" s="410"/>
      <c r="G23" s="181"/>
      <c r="H23" s="537"/>
      <c r="I23" s="299" t="s">
        <v>80</v>
      </c>
      <c r="J23" s="547"/>
      <c r="K23" s="312">
        <f t="shared" si="0"/>
        <v>21.907256905457952</v>
      </c>
      <c r="L23" s="487"/>
      <c r="M23" s="162"/>
    </row>
    <row r="24" spans="1:13" s="9" customFormat="1" ht="15" customHeight="1">
      <c r="A24" s="108"/>
      <c r="B24" s="537"/>
      <c r="C24" s="299" t="s">
        <v>296</v>
      </c>
      <c r="D24" s="540"/>
      <c r="E24" s="300">
        <v>27.772119902217348</v>
      </c>
      <c r="F24" s="410"/>
      <c r="G24" s="181"/>
      <c r="H24" s="537"/>
      <c r="I24" s="299" t="s">
        <v>296</v>
      </c>
      <c r="J24" s="547"/>
      <c r="K24" s="312">
        <f t="shared" si="0"/>
        <v>28.469039074649093</v>
      </c>
      <c r="L24" s="487"/>
      <c r="M24" s="162"/>
    </row>
    <row r="25" spans="1:13" s="9" customFormat="1" ht="15" customHeight="1">
      <c r="A25" s="108"/>
      <c r="B25" s="537" t="s">
        <v>297</v>
      </c>
      <c r="C25" s="299" t="s">
        <v>83</v>
      </c>
      <c r="D25" s="538">
        <v>29.343887527901948</v>
      </c>
      <c r="E25" s="300">
        <v>8.5306420329494657</v>
      </c>
      <c r="F25" s="410"/>
      <c r="G25" s="181"/>
      <c r="H25" s="537" t="s">
        <v>297</v>
      </c>
      <c r="I25" s="299" t="s">
        <v>83</v>
      </c>
      <c r="J25" s="538">
        <f>D25*(1+$E$37)</f>
        <v>30.08024895381682</v>
      </c>
      <c r="K25" s="312">
        <f t="shared" si="0"/>
        <v>8.7447116829022562</v>
      </c>
      <c r="L25" s="380"/>
      <c r="M25" s="162"/>
    </row>
    <row r="26" spans="1:13" s="9" customFormat="1" ht="15" customHeight="1">
      <c r="A26" s="108"/>
      <c r="B26" s="537"/>
      <c r="C26" s="299" t="s">
        <v>84</v>
      </c>
      <c r="D26" s="539"/>
      <c r="E26" s="300">
        <v>10.660133654844726</v>
      </c>
      <c r="F26" s="410"/>
      <c r="G26" s="181"/>
      <c r="H26" s="537"/>
      <c r="I26" s="299" t="s">
        <v>84</v>
      </c>
      <c r="J26" s="539"/>
      <c r="K26" s="312">
        <f t="shared" si="0"/>
        <v>10.927641196613369</v>
      </c>
      <c r="L26" s="380"/>
      <c r="M26" s="162"/>
    </row>
    <row r="27" spans="1:13" s="9" customFormat="1" ht="15" customHeight="1">
      <c r="A27" s="108"/>
      <c r="B27" s="537"/>
      <c r="C27" s="299" t="s">
        <v>298</v>
      </c>
      <c r="D27" s="539"/>
      <c r="E27" s="300">
        <v>13.752966724740221</v>
      </c>
      <c r="F27" s="410"/>
      <c r="G27" s="181"/>
      <c r="H27" s="537"/>
      <c r="I27" s="299" t="s">
        <v>298</v>
      </c>
      <c r="J27" s="539"/>
      <c r="K27" s="312">
        <f t="shared" si="0"/>
        <v>14.098086442717602</v>
      </c>
      <c r="L27" s="380"/>
      <c r="M27" s="162"/>
    </row>
    <row r="28" spans="1:13" s="9" customFormat="1" ht="15" customHeight="1">
      <c r="A28" s="108"/>
      <c r="B28" s="537"/>
      <c r="C28" s="299" t="s">
        <v>299</v>
      </c>
      <c r="D28" s="539"/>
      <c r="E28" s="300">
        <v>17.048608520530504</v>
      </c>
      <c r="F28" s="410"/>
      <c r="G28" s="181"/>
      <c r="H28" s="537"/>
      <c r="I28" s="299" t="s">
        <v>299</v>
      </c>
      <c r="J28" s="539"/>
      <c r="K28" s="312">
        <f t="shared" si="0"/>
        <v>17.476429737746706</v>
      </c>
      <c r="L28" s="380"/>
      <c r="M28" s="162"/>
    </row>
    <row r="29" spans="1:13" s="9" customFormat="1" ht="15" customHeight="1">
      <c r="A29" s="108"/>
      <c r="B29" s="537"/>
      <c r="C29" s="299" t="s">
        <v>300</v>
      </c>
      <c r="D29" s="540"/>
      <c r="E29" s="300">
        <v>20.116090499689154</v>
      </c>
      <c r="F29" s="410"/>
      <c r="G29" s="181"/>
      <c r="H29" s="537"/>
      <c r="I29" s="299" t="s">
        <v>300</v>
      </c>
      <c r="J29" s="540"/>
      <c r="K29" s="312">
        <f t="shared" si="0"/>
        <v>20.620887727735333</v>
      </c>
      <c r="L29" s="380"/>
      <c r="M29" s="162"/>
    </row>
    <row r="30" spans="1:13" s="9" customFormat="1" ht="15" customHeight="1">
      <c r="A30" s="108"/>
      <c r="B30" s="537" t="s">
        <v>301</v>
      </c>
      <c r="C30" s="299" t="s">
        <v>83</v>
      </c>
      <c r="D30" s="538">
        <v>44.022169064537124</v>
      </c>
      <c r="E30" s="300">
        <v>12.789625276739983</v>
      </c>
      <c r="F30" s="410"/>
      <c r="G30" s="181"/>
      <c r="H30" s="537" t="s">
        <v>301</v>
      </c>
      <c r="I30" s="299" t="s">
        <v>83</v>
      </c>
      <c r="J30" s="547">
        <f>D30*(1+$E$37)</f>
        <v>45.126870244754123</v>
      </c>
      <c r="K30" s="312">
        <f t="shared" si="0"/>
        <v>13.110570710324479</v>
      </c>
      <c r="L30" s="380"/>
      <c r="M30" s="162"/>
    </row>
    <row r="31" spans="1:13" s="12" customFormat="1" ht="15" customHeight="1">
      <c r="A31" s="118"/>
      <c r="B31" s="537"/>
      <c r="C31" s="299" t="s">
        <v>84</v>
      </c>
      <c r="D31" s="539"/>
      <c r="E31" s="300">
        <v>15.983862709582874</v>
      </c>
      <c r="F31" s="414"/>
      <c r="G31" s="183"/>
      <c r="H31" s="537"/>
      <c r="I31" s="299" t="s">
        <v>84</v>
      </c>
      <c r="J31" s="547"/>
      <c r="K31" s="312">
        <f t="shared" si="0"/>
        <v>16.384964980891148</v>
      </c>
      <c r="L31" s="385"/>
      <c r="M31" s="162"/>
    </row>
    <row r="32" spans="1:13" ht="15">
      <c r="A32" s="107"/>
      <c r="B32" s="537"/>
      <c r="C32" s="299" t="s">
        <v>298</v>
      </c>
      <c r="D32" s="539"/>
      <c r="E32" s="300">
        <v>20.62311231442612</v>
      </c>
      <c r="F32" s="417"/>
      <c r="G32" s="185"/>
      <c r="H32" s="537"/>
      <c r="I32" s="299" t="s">
        <v>298</v>
      </c>
      <c r="J32" s="547"/>
      <c r="K32" s="312">
        <f t="shared" si="0"/>
        <v>21.140632850047503</v>
      </c>
      <c r="L32" s="383"/>
      <c r="M32" s="162"/>
    </row>
    <row r="33" spans="1:13" ht="15" customHeight="1">
      <c r="A33" s="107"/>
      <c r="B33" s="537"/>
      <c r="C33" s="299" t="s">
        <v>299</v>
      </c>
      <c r="D33" s="539"/>
      <c r="E33" s="300">
        <v>25.566575008111549</v>
      </c>
      <c r="F33" s="415"/>
      <c r="G33" s="185"/>
      <c r="H33" s="537"/>
      <c r="I33" s="299" t="s">
        <v>299</v>
      </c>
      <c r="J33" s="547"/>
      <c r="K33" s="312">
        <f t="shared" si="0"/>
        <v>26.208147792591159</v>
      </c>
      <c r="L33" s="383"/>
      <c r="M33" s="162"/>
    </row>
    <row r="34" spans="1:13" ht="15">
      <c r="A34" s="1"/>
      <c r="B34" s="537"/>
      <c r="C34" s="299" t="s">
        <v>300</v>
      </c>
      <c r="D34" s="540"/>
      <c r="E34" s="300">
        <v>30.167797976849521</v>
      </c>
      <c r="F34" s="416"/>
      <c r="G34" s="185"/>
      <c r="H34" s="537"/>
      <c r="I34" s="299" t="s">
        <v>300</v>
      </c>
      <c r="J34" s="547"/>
      <c r="K34" s="312">
        <f t="shared" si="0"/>
        <v>30.924834777574098</v>
      </c>
      <c r="L34" s="383"/>
      <c r="M34" s="162"/>
    </row>
    <row r="35" spans="1:13" s="188" customFormat="1" ht="15" customHeight="1">
      <c r="A35" s="186"/>
      <c r="B35" s="356" t="s">
        <v>302</v>
      </c>
      <c r="C35" s="130"/>
      <c r="D35" s="131"/>
      <c r="E35" s="132"/>
      <c r="F35" s="187"/>
    </row>
    <row r="36" spans="1:13" ht="18.75">
      <c r="A36" s="1"/>
      <c r="B36" s="127"/>
      <c r="C36" s="127"/>
      <c r="D36" s="128"/>
      <c r="E36" s="129"/>
      <c r="G36" s="78"/>
      <c r="H36" s="121"/>
      <c r="I36" s="11"/>
    </row>
    <row r="37" spans="1:13" ht="15.75">
      <c r="A37" s="1"/>
      <c r="B37" s="498" t="s">
        <v>271</v>
      </c>
      <c r="C37" s="499"/>
      <c r="D37" s="499"/>
      <c r="E37" s="305">
        <f>'RTA 2026'!D25</f>
        <v>2.5094201482836809E-2</v>
      </c>
      <c r="F37" s="309"/>
      <c r="G37" s="26"/>
      <c r="H37" s="26"/>
      <c r="J37" s="383"/>
      <c r="K37" s="383"/>
    </row>
    <row r="38" spans="1:13" ht="15" customHeight="1">
      <c r="E38" s="165"/>
      <c r="G38" s="78"/>
      <c r="H38" s="79"/>
      <c r="I38" s="12"/>
      <c r="J38" s="383"/>
      <c r="K38" s="383"/>
    </row>
    <row r="39" spans="1:13" ht="15" customHeight="1">
      <c r="G39" s="78"/>
      <c r="H39" s="79"/>
      <c r="I39" s="9"/>
    </row>
    <row r="40" spans="1:13" ht="15" hidden="1" customHeight="1">
      <c r="G40" s="108"/>
      <c r="H40" s="108"/>
      <c r="I40" s="9"/>
    </row>
    <row r="41" spans="1:13" ht="15" hidden="1" customHeight="1">
      <c r="G41" s="96"/>
      <c r="H41" s="96"/>
      <c r="I41" s="9"/>
    </row>
    <row r="42" spans="1:13" ht="15" hidden="1" customHeight="1">
      <c r="G42" s="78"/>
      <c r="H42" s="117"/>
      <c r="I42" s="9"/>
    </row>
    <row r="43" spans="1:13" ht="15" hidden="1" customHeight="1">
      <c r="G43" s="78"/>
      <c r="H43" s="117"/>
      <c r="I43" s="9"/>
    </row>
    <row r="44" spans="1:13" ht="15" hidden="1" customHeight="1">
      <c r="G44" s="78"/>
      <c r="H44" s="117"/>
      <c r="I44" s="9"/>
    </row>
    <row r="45" spans="1:13" ht="15" hidden="1" customHeight="1">
      <c r="G45" s="78"/>
      <c r="H45" s="117"/>
      <c r="I45" s="9"/>
    </row>
    <row r="46" spans="1:13" ht="15" hidden="1" customHeight="1">
      <c r="G46" s="78"/>
      <c r="H46" s="117"/>
      <c r="I46" s="9"/>
    </row>
    <row r="47" spans="1:13" ht="15" hidden="1" customHeight="1">
      <c r="G47" s="78"/>
      <c r="H47" s="79"/>
      <c r="I47" s="9"/>
    </row>
    <row r="48" spans="1:13" ht="15" hidden="1" customHeight="1">
      <c r="G48" s="78"/>
      <c r="H48" s="79"/>
      <c r="I48" s="9"/>
    </row>
    <row r="49" spans="7:9" ht="15" hidden="1" customHeight="1">
      <c r="G49" s="78"/>
      <c r="H49" s="79"/>
      <c r="I49" s="69"/>
    </row>
    <row r="50" spans="7:9" ht="15" hidden="1" customHeight="1">
      <c r="G50" s="103"/>
      <c r="H50" s="119"/>
      <c r="I50" s="9"/>
    </row>
    <row r="51" spans="7:9" ht="15" hidden="1" customHeight="1">
      <c r="G51" s="21"/>
      <c r="H51" s="120"/>
      <c r="I51" s="70"/>
    </row>
    <row r="52" spans="7:9" ht="15" hidden="1" customHeight="1">
      <c r="G52" s="21"/>
      <c r="H52" s="106"/>
    </row>
    <row r="53" spans="7:9" ht="15" hidden="1" customHeight="1">
      <c r="G53" s="21"/>
      <c r="H53" s="21"/>
    </row>
    <row r="54" spans="7:9" ht="15" hidden="1" customHeight="1">
      <c r="I54" s="71"/>
    </row>
    <row r="55" spans="7:9" ht="15" hidden="1" customHeight="1">
      <c r="I55" s="71"/>
    </row>
    <row r="56" spans="7:9" ht="15" hidden="1" customHeight="1">
      <c r="I56" s="71"/>
    </row>
    <row r="57" spans="7:9" ht="15" hidden="1" customHeight="1"/>
    <row r="58" spans="7:9" ht="15" hidden="1" customHeight="1">
      <c r="G58" s="74"/>
      <c r="H58" s="74"/>
    </row>
    <row r="59" spans="7:9" ht="15" hidden="1" customHeight="1">
      <c r="H59" s="74"/>
    </row>
    <row r="60" spans="7:9" ht="15" hidden="1" customHeight="1">
      <c r="I60" s="73"/>
    </row>
    <row r="61" spans="7:9" ht="15" hidden="1" customHeight="1">
      <c r="I61" s="76"/>
    </row>
    <row r="62" spans="7:9" ht="15" hidden="1" customHeight="1">
      <c r="I62" s="77"/>
    </row>
    <row r="63" spans="7:9" ht="15" hidden="1" customHeight="1"/>
  </sheetData>
  <mergeCells count="22">
    <mergeCell ref="H25:H29"/>
    <mergeCell ref="J25:J29"/>
    <mergeCell ref="H30:H34"/>
    <mergeCell ref="J30:J34"/>
    <mergeCell ref="H9:K9"/>
    <mergeCell ref="H10:K11"/>
    <mergeCell ref="H13:H18"/>
    <mergeCell ref="J13:J18"/>
    <mergeCell ref="H19:H24"/>
    <mergeCell ref="J19:J24"/>
    <mergeCell ref="B37:D37"/>
    <mergeCell ref="B25:B29"/>
    <mergeCell ref="D25:D29"/>
    <mergeCell ref="B30:B34"/>
    <mergeCell ref="D30:D34"/>
    <mergeCell ref="B19:B24"/>
    <mergeCell ref="D19:D24"/>
    <mergeCell ref="B3:F3"/>
    <mergeCell ref="B10:E11"/>
    <mergeCell ref="B9:E9"/>
    <mergeCell ref="B13:B18"/>
    <mergeCell ref="D13:D18"/>
  </mergeCells>
  <hyperlinks>
    <hyperlink ref="B35" r:id="rId1" xr:uid="{07D9F901-8438-4F73-9D36-59274816A4D7}"/>
  </hyperlinks>
  <pageMargins left="0.511811024" right="0.511811024" top="0.78740157499999996" bottom="0.78740157499999996" header="0.31496062000000002" footer="0.31496062000000002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61791-335C-498A-A639-9C7F37F472CF}">
  <sheetPr>
    <tabColor theme="0" tint="-0.14999847407452621"/>
    <pageSetUpPr fitToPage="1"/>
  </sheetPr>
  <dimension ref="A1:N84"/>
  <sheetViews>
    <sheetView tabSelected="1" topLeftCell="A3" zoomScale="80" zoomScaleNormal="80" workbookViewId="0">
      <selection activeCell="J49" sqref="J49"/>
    </sheetView>
  </sheetViews>
  <sheetFormatPr defaultColWidth="0" defaultRowHeight="15" zeroHeight="1" outlineLevelRow="1"/>
  <cols>
    <col min="1" max="1" width="2.28515625" style="21" customWidth="1"/>
    <col min="2" max="2" width="1.42578125" style="21" customWidth="1"/>
    <col min="3" max="3" width="2.140625" style="21" customWidth="1"/>
    <col min="4" max="4" width="78.85546875" style="21" customWidth="1"/>
    <col min="5" max="5" width="17.7109375" style="21" bestFit="1" customWidth="1"/>
    <col min="6" max="6" width="2.140625" style="21" customWidth="1"/>
    <col min="7" max="7" width="1.42578125" style="21" customWidth="1"/>
    <col min="8" max="8" width="13.5703125" style="21" bestFit="1" customWidth="1"/>
    <col min="9" max="9" width="18.7109375" style="21" customWidth="1"/>
    <col min="10" max="10" width="9.140625" style="21" customWidth="1"/>
    <col min="11" max="11" width="9.140625" style="21" hidden="1" customWidth="1"/>
    <col min="12" max="12" width="43.42578125" style="21" hidden="1" customWidth="1"/>
    <col min="13" max="13" width="15.28515625" style="21" hidden="1" customWidth="1"/>
    <col min="14" max="14" width="11.140625" style="21" hidden="1" customWidth="1"/>
    <col min="15" max="16384" width="9.140625" style="21" hidden="1"/>
  </cols>
  <sheetData>
    <row r="1" spans="2:9" ht="9" customHeight="1"/>
    <row r="2" spans="2:9" ht="20.25">
      <c r="B2" s="338"/>
      <c r="C2" s="30"/>
      <c r="D2" s="31" t="s">
        <v>303</v>
      </c>
      <c r="E2" s="30"/>
      <c r="F2" s="30"/>
      <c r="G2" s="30"/>
      <c r="H2" s="32"/>
      <c r="I2" s="32"/>
    </row>
    <row r="3" spans="2:9" ht="20.25">
      <c r="B3" s="338"/>
      <c r="C3" s="30"/>
      <c r="D3" s="31" t="s">
        <v>304</v>
      </c>
      <c r="E3" s="30"/>
      <c r="F3" s="30"/>
      <c r="G3" s="30"/>
      <c r="H3" s="32"/>
      <c r="I3" s="32"/>
    </row>
    <row r="4" spans="2:9" ht="20.25">
      <c r="B4" s="338"/>
      <c r="C4" s="30"/>
      <c r="D4" s="33" t="s">
        <v>305</v>
      </c>
      <c r="E4" s="30"/>
      <c r="F4" s="30"/>
      <c r="G4" s="30"/>
      <c r="H4" s="32"/>
      <c r="I4" s="32"/>
    </row>
    <row r="5" spans="2:9" ht="31.5" customHeight="1">
      <c r="B5" s="338"/>
      <c r="C5" s="30"/>
      <c r="D5" s="34"/>
      <c r="E5" s="35"/>
      <c r="F5" s="30"/>
      <c r="G5" s="30"/>
      <c r="H5" s="36"/>
      <c r="I5" s="36"/>
    </row>
    <row r="6" spans="2:9" ht="15" customHeight="1">
      <c r="C6" s="32"/>
      <c r="D6" s="37"/>
      <c r="E6" s="38"/>
      <c r="F6" s="32"/>
      <c r="H6" s="36"/>
      <c r="I6" s="36"/>
    </row>
    <row r="7" spans="2:9" ht="4.9000000000000004" customHeight="1">
      <c r="B7" s="39"/>
      <c r="C7" s="40"/>
      <c r="D7" s="41"/>
      <c r="E7" s="41"/>
      <c r="F7" s="40"/>
      <c r="G7" s="42"/>
      <c r="H7" s="36"/>
      <c r="I7" s="36"/>
    </row>
    <row r="8" spans="2:9">
      <c r="B8" s="43"/>
      <c r="C8" s="549" t="s">
        <v>305</v>
      </c>
      <c r="D8" s="549"/>
      <c r="E8" s="549"/>
      <c r="F8" s="549"/>
      <c r="G8" s="44"/>
      <c r="H8" s="36"/>
      <c r="I8" s="36"/>
    </row>
    <row r="9" spans="2:9" ht="7.9" customHeight="1" thickBot="1">
      <c r="B9" s="43"/>
      <c r="D9" s="45"/>
      <c r="E9" s="46"/>
      <c r="G9" s="44"/>
      <c r="H9" s="45"/>
      <c r="I9" s="45"/>
    </row>
    <row r="10" spans="2:9" ht="9" customHeight="1">
      <c r="B10" s="43"/>
      <c r="C10" s="47"/>
      <c r="D10" s="48"/>
      <c r="E10" s="48"/>
      <c r="F10" s="49"/>
      <c r="G10" s="44"/>
      <c r="H10" s="36"/>
      <c r="I10" s="36"/>
    </row>
    <row r="11" spans="2:9" outlineLevel="1">
      <c r="B11" s="43"/>
      <c r="C11" s="50"/>
      <c r="D11" s="340" t="s">
        <v>306</v>
      </c>
      <c r="E11" s="339" t="s">
        <v>307</v>
      </c>
      <c r="F11" s="51"/>
      <c r="G11" s="44"/>
      <c r="H11" s="45"/>
      <c r="I11" s="45"/>
    </row>
    <row r="12" spans="2:9" ht="6" customHeight="1" outlineLevel="1">
      <c r="B12" s="43"/>
      <c r="C12" s="50"/>
      <c r="D12" s="45"/>
      <c r="E12" s="45"/>
      <c r="F12" s="51"/>
      <c r="G12" s="44"/>
      <c r="H12" s="45"/>
      <c r="I12" s="45"/>
    </row>
    <row r="13" spans="2:9" outlineLevel="1">
      <c r="B13" s="43"/>
      <c r="C13" s="50"/>
      <c r="D13" s="52" t="s">
        <v>308</v>
      </c>
      <c r="E13" s="53">
        <v>11126624.638</v>
      </c>
      <c r="F13" s="51"/>
      <c r="G13" s="44"/>
      <c r="H13" s="45"/>
      <c r="I13" s="45"/>
    </row>
    <row r="14" spans="2:9" outlineLevel="1">
      <c r="B14" s="43"/>
      <c r="C14" s="50"/>
      <c r="D14" s="54" t="s">
        <v>309</v>
      </c>
      <c r="E14" s="53">
        <v>21139848.501000002</v>
      </c>
      <c r="F14" s="51"/>
      <c r="G14" s="44"/>
      <c r="H14" s="45"/>
      <c r="I14" s="45"/>
    </row>
    <row r="15" spans="2:9" outlineLevel="1">
      <c r="B15" s="43"/>
      <c r="C15" s="50"/>
      <c r="D15" s="54" t="s">
        <v>310</v>
      </c>
      <c r="E15" s="53">
        <v>70331219.651457712</v>
      </c>
      <c r="F15" s="51"/>
      <c r="G15" s="44"/>
      <c r="H15" s="45"/>
      <c r="I15" s="45"/>
    </row>
    <row r="16" spans="2:9" outlineLevel="1">
      <c r="B16" s="43"/>
      <c r="C16" s="50"/>
      <c r="D16" s="54" t="s">
        <v>311</v>
      </c>
      <c r="E16" s="53">
        <v>60000</v>
      </c>
      <c r="F16" s="51"/>
      <c r="G16" s="44"/>
      <c r="H16" s="45"/>
      <c r="I16" s="45"/>
    </row>
    <row r="17" spans="2:9" outlineLevel="1">
      <c r="B17" s="43"/>
      <c r="C17" s="50"/>
      <c r="D17" s="54" t="s">
        <v>312</v>
      </c>
      <c r="E17" s="53">
        <v>10000000</v>
      </c>
      <c r="F17" s="51"/>
      <c r="G17" s="44"/>
      <c r="H17" s="45"/>
      <c r="I17" s="45"/>
    </row>
    <row r="18" spans="2:9" outlineLevel="1">
      <c r="B18" s="43"/>
      <c r="C18" s="50"/>
      <c r="D18" s="54" t="s">
        <v>313</v>
      </c>
      <c r="E18" s="53">
        <v>6000000</v>
      </c>
      <c r="F18" s="51"/>
      <c r="G18" s="44"/>
      <c r="H18" s="45"/>
      <c r="I18" s="45"/>
    </row>
    <row r="19" spans="2:9" outlineLevel="1">
      <c r="B19" s="43"/>
      <c r="C19" s="50"/>
      <c r="D19" s="54" t="s">
        <v>314</v>
      </c>
      <c r="E19" s="53">
        <v>4227969.7001999998</v>
      </c>
      <c r="F19" s="51"/>
      <c r="G19" s="44"/>
      <c r="H19" s="45"/>
      <c r="I19" s="45"/>
    </row>
    <row r="20" spans="2:9" ht="6" customHeight="1" outlineLevel="1" thickBot="1">
      <c r="B20" s="43"/>
      <c r="C20" s="50"/>
      <c r="D20" s="45"/>
      <c r="E20" s="45"/>
      <c r="F20" s="51"/>
      <c r="G20" s="44"/>
      <c r="H20" s="45"/>
      <c r="I20" s="45"/>
    </row>
    <row r="21" spans="2:9">
      <c r="B21" s="43"/>
      <c r="C21" s="50"/>
      <c r="D21" s="55" t="s">
        <v>315</v>
      </c>
      <c r="E21" s="56">
        <v>122885662.49065772</v>
      </c>
      <c r="F21" s="51"/>
      <c r="G21" s="44"/>
      <c r="H21" s="45"/>
      <c r="I21" s="143"/>
    </row>
    <row r="22" spans="2:9" ht="7.5" customHeight="1">
      <c r="B22" s="43"/>
      <c r="C22" s="50"/>
      <c r="D22" s="45"/>
      <c r="E22" s="46"/>
      <c r="F22" s="51"/>
      <c r="G22" s="44"/>
      <c r="H22" s="45"/>
      <c r="I22" s="45"/>
    </row>
    <row r="23" spans="2:9" outlineLevel="1">
      <c r="B23" s="43"/>
      <c r="C23" s="50"/>
      <c r="D23" s="340" t="s">
        <v>316</v>
      </c>
      <c r="E23" s="339" t="s">
        <v>307</v>
      </c>
      <c r="F23" s="51"/>
      <c r="G23" s="44"/>
      <c r="H23" s="45"/>
      <c r="I23" s="45"/>
    </row>
    <row r="24" spans="2:9" ht="6" customHeight="1" outlineLevel="1">
      <c r="B24" s="43"/>
      <c r="C24" s="50"/>
      <c r="D24" s="45"/>
      <c r="E24" s="45"/>
      <c r="F24" s="51"/>
      <c r="G24" s="44"/>
      <c r="H24" s="45"/>
      <c r="I24" s="45"/>
    </row>
    <row r="25" spans="2:9" outlineLevel="1">
      <c r="B25" s="43"/>
      <c r="C25" s="50"/>
      <c r="D25" s="57" t="s">
        <v>317</v>
      </c>
      <c r="E25" s="58">
        <v>1321714967.0231886</v>
      </c>
      <c r="F25" s="51"/>
      <c r="G25" s="44"/>
      <c r="H25" s="45"/>
      <c r="I25" s="143"/>
    </row>
    <row r="26" spans="2:9" outlineLevel="1">
      <c r="B26" s="43"/>
      <c r="C26" s="50"/>
      <c r="D26" s="59" t="s">
        <v>318</v>
      </c>
      <c r="E26" s="53">
        <v>652383793.29318869</v>
      </c>
      <c r="F26" s="51"/>
      <c r="G26" s="44"/>
      <c r="H26" s="45"/>
      <c r="I26" s="144"/>
    </row>
    <row r="27" spans="2:9" outlineLevel="1">
      <c r="B27" s="43"/>
      <c r="C27" s="50"/>
      <c r="D27" s="59" t="s">
        <v>319</v>
      </c>
      <c r="E27" s="53">
        <v>307622720.69</v>
      </c>
      <c r="F27" s="51"/>
      <c r="G27" s="44"/>
      <c r="H27" s="45"/>
      <c r="I27" s="144"/>
    </row>
    <row r="28" spans="2:9" outlineLevel="1">
      <c r="B28" s="43"/>
      <c r="C28" s="50"/>
      <c r="D28" s="59" t="s">
        <v>320</v>
      </c>
      <c r="E28" s="53">
        <v>126277424.02000003</v>
      </c>
      <c r="F28" s="51"/>
      <c r="G28" s="44"/>
      <c r="H28" s="45"/>
      <c r="I28" s="45"/>
    </row>
    <row r="29" spans="2:9" outlineLevel="1">
      <c r="B29" s="43"/>
      <c r="C29" s="50"/>
      <c r="D29" s="59" t="s">
        <v>321</v>
      </c>
      <c r="E29" s="53">
        <v>2363157.2100000004</v>
      </c>
      <c r="F29" s="51"/>
      <c r="G29" s="44"/>
      <c r="H29" s="45"/>
      <c r="I29" s="45"/>
    </row>
    <row r="30" spans="2:9" outlineLevel="1">
      <c r="B30" s="43"/>
      <c r="C30" s="50"/>
      <c r="D30" s="59" t="s">
        <v>322</v>
      </c>
      <c r="E30" s="53">
        <v>24946623.739999998</v>
      </c>
      <c r="F30" s="51"/>
      <c r="G30" s="44"/>
      <c r="H30" s="45"/>
      <c r="I30" s="45"/>
    </row>
    <row r="31" spans="2:9" outlineLevel="1">
      <c r="B31" s="43"/>
      <c r="C31" s="50"/>
      <c r="D31" s="59" t="s">
        <v>323</v>
      </c>
      <c r="E31" s="53">
        <v>79793.97</v>
      </c>
      <c r="F31" s="51"/>
      <c r="G31" s="44"/>
      <c r="H31" s="45"/>
      <c r="I31" s="45"/>
    </row>
    <row r="32" spans="2:9" outlineLevel="1">
      <c r="B32" s="43"/>
      <c r="C32" s="50"/>
      <c r="D32" s="59" t="s">
        <v>324</v>
      </c>
      <c r="E32" s="53">
        <v>208041454.10000002</v>
      </c>
      <c r="F32" s="51"/>
      <c r="G32" s="44"/>
      <c r="H32" s="45"/>
      <c r="I32" s="45"/>
    </row>
    <row r="33" spans="2:9" ht="6" customHeight="1" outlineLevel="1">
      <c r="B33" s="43"/>
      <c r="C33" s="50"/>
      <c r="D33" s="45"/>
      <c r="E33" s="45"/>
      <c r="F33" s="51"/>
      <c r="G33" s="44"/>
      <c r="H33" s="45"/>
      <c r="I33" s="45"/>
    </row>
    <row r="34" spans="2:9" outlineLevel="1">
      <c r="B34" s="43"/>
      <c r="C34" s="50"/>
      <c r="D34" s="57" t="s">
        <v>325</v>
      </c>
      <c r="E34" s="58">
        <v>24680828.781878993</v>
      </c>
      <c r="F34" s="51"/>
      <c r="G34" s="44">
        <f>SUM(E27,E29,E30,E31,E34)</f>
        <v>359693124.39187902</v>
      </c>
      <c r="H34" s="337"/>
      <c r="I34" s="143"/>
    </row>
    <row r="35" spans="2:9" ht="6" customHeight="1" outlineLevel="1">
      <c r="B35" s="43"/>
      <c r="C35" s="50"/>
      <c r="D35" s="45"/>
      <c r="E35" s="45"/>
      <c r="F35" s="51"/>
      <c r="G35" s="44"/>
      <c r="H35" s="45"/>
      <c r="I35" s="45"/>
    </row>
    <row r="36" spans="2:9" outlineLevel="1">
      <c r="B36" s="43"/>
      <c r="C36" s="50"/>
      <c r="D36" s="57" t="s">
        <v>326</v>
      </c>
      <c r="E36" s="58">
        <v>667378494.50257242</v>
      </c>
      <c r="F36" s="51"/>
      <c r="G36" s="44"/>
      <c r="H36" s="144"/>
      <c r="I36" s="143"/>
    </row>
    <row r="37" spans="2:9" outlineLevel="1">
      <c r="B37" s="43"/>
      <c r="C37" s="50"/>
      <c r="D37" s="59" t="s">
        <v>327</v>
      </c>
      <c r="E37" s="53">
        <v>469636801.04494244</v>
      </c>
      <c r="F37" s="51"/>
      <c r="G37" s="44"/>
      <c r="H37" s="45"/>
      <c r="I37" s="143"/>
    </row>
    <row r="38" spans="2:9" outlineLevel="1">
      <c r="B38" s="43"/>
      <c r="C38" s="50"/>
      <c r="D38" s="59" t="s">
        <v>328</v>
      </c>
      <c r="E38" s="53">
        <v>196243873.88491178</v>
      </c>
      <c r="F38" s="51"/>
      <c r="G38" s="44"/>
      <c r="H38" s="45"/>
      <c r="I38" s="143"/>
    </row>
    <row r="39" spans="2:9" outlineLevel="1">
      <c r="B39" s="43"/>
      <c r="C39" s="50"/>
      <c r="D39" s="59" t="s">
        <v>329</v>
      </c>
      <c r="E39" s="53">
        <v>1497819.5727182829</v>
      </c>
      <c r="F39" s="51"/>
      <c r="G39" s="44"/>
      <c r="H39" s="45"/>
      <c r="I39" s="143"/>
    </row>
    <row r="40" spans="2:9" ht="6" customHeight="1" outlineLevel="1" thickBot="1">
      <c r="B40" s="43"/>
      <c r="C40" s="50"/>
      <c r="D40" s="45"/>
      <c r="E40" s="45"/>
      <c r="F40" s="51"/>
      <c r="G40" s="44"/>
      <c r="H40" s="45"/>
      <c r="I40" s="45"/>
    </row>
    <row r="41" spans="2:9">
      <c r="B41" s="43"/>
      <c r="C41" s="50"/>
      <c r="D41" s="55" t="s">
        <v>330</v>
      </c>
      <c r="E41" s="56">
        <v>2013774290.3076401</v>
      </c>
      <c r="F41" s="51"/>
      <c r="G41" s="44"/>
      <c r="H41" s="337"/>
      <c r="I41" s="144"/>
    </row>
    <row r="42" spans="2:9" ht="7.5" customHeight="1">
      <c r="B42" s="43"/>
      <c r="C42" s="50"/>
      <c r="D42" s="60"/>
      <c r="E42" s="58"/>
      <c r="F42" s="51"/>
      <c r="G42" s="44"/>
      <c r="H42" s="45"/>
      <c r="I42" s="45"/>
    </row>
    <row r="43" spans="2:9">
      <c r="B43" s="43"/>
      <c r="C43" s="50"/>
      <c r="D43" s="340" t="s">
        <v>331</v>
      </c>
      <c r="E43" s="339" t="s">
        <v>307</v>
      </c>
      <c r="F43" s="51"/>
      <c r="G43" s="44"/>
      <c r="H43" s="45"/>
      <c r="I43" s="144"/>
    </row>
    <row r="44" spans="2:9" ht="6" customHeight="1">
      <c r="B44" s="43"/>
      <c r="C44" s="50"/>
      <c r="D44" s="60"/>
      <c r="E44" s="58"/>
      <c r="F44" s="51"/>
      <c r="G44" s="44"/>
      <c r="H44" s="45"/>
      <c r="I44" s="45"/>
    </row>
    <row r="45" spans="2:9" outlineLevel="1">
      <c r="B45" s="43"/>
      <c r="C45" s="50"/>
      <c r="D45" s="59" t="s">
        <v>332</v>
      </c>
      <c r="E45" s="53">
        <v>-22136598.00417316</v>
      </c>
      <c r="F45" s="51"/>
      <c r="G45" s="44"/>
      <c r="H45" s="45"/>
      <c r="I45" s="143"/>
    </row>
    <row r="46" spans="2:9" outlineLevel="1">
      <c r="B46" s="43"/>
      <c r="C46" s="50"/>
      <c r="D46" s="59" t="s">
        <v>333</v>
      </c>
      <c r="E46" s="53">
        <v>-18385648.341008298</v>
      </c>
      <c r="F46" s="51"/>
      <c r="G46" s="44"/>
      <c r="H46" s="45"/>
      <c r="I46" s="143"/>
    </row>
    <row r="47" spans="2:9" outlineLevel="1">
      <c r="B47" s="43"/>
      <c r="C47" s="50"/>
      <c r="D47" s="59" t="s">
        <v>334</v>
      </c>
      <c r="E47" s="53">
        <v>-7423367.7599999988</v>
      </c>
      <c r="F47" s="51"/>
      <c r="G47" s="44"/>
      <c r="H47" s="45"/>
      <c r="I47" s="143"/>
    </row>
    <row r="48" spans="2:9" outlineLevel="1">
      <c r="B48" s="43"/>
      <c r="C48" s="50"/>
      <c r="D48" s="59" t="s">
        <v>335</v>
      </c>
      <c r="E48" s="53">
        <v>-3823401</v>
      </c>
      <c r="F48" s="51"/>
      <c r="G48" s="44"/>
      <c r="H48" s="45"/>
      <c r="I48" s="143"/>
    </row>
    <row r="49" spans="2:14" outlineLevel="1">
      <c r="B49" s="43"/>
      <c r="C49" s="50"/>
      <c r="D49" s="59" t="s">
        <v>336</v>
      </c>
      <c r="E49" s="53">
        <v>-50972.44</v>
      </c>
      <c r="F49" s="51"/>
      <c r="G49" s="44"/>
      <c r="H49" s="45"/>
      <c r="I49" s="143"/>
    </row>
    <row r="50" spans="2:14" outlineLevel="1">
      <c r="B50" s="43"/>
      <c r="C50" s="50"/>
      <c r="D50" s="59" t="s">
        <v>337</v>
      </c>
      <c r="E50" s="53">
        <v>-84341.820000000065</v>
      </c>
      <c r="F50" s="51"/>
      <c r="G50" s="44"/>
      <c r="H50" s="45"/>
      <c r="I50" s="143"/>
      <c r="L50" s="336"/>
      <c r="M50" s="335"/>
      <c r="N50" s="334"/>
    </row>
    <row r="51" spans="2:14" outlineLevel="1">
      <c r="B51" s="43"/>
      <c r="C51" s="50"/>
      <c r="D51" s="59" t="s">
        <v>311</v>
      </c>
      <c r="E51" s="53">
        <v>-211094</v>
      </c>
      <c r="F51" s="51"/>
      <c r="G51" s="44"/>
      <c r="H51" s="45"/>
      <c r="I51" s="143"/>
      <c r="L51" s="333"/>
      <c r="M51" s="103"/>
      <c r="N51" s="334"/>
    </row>
    <row r="52" spans="2:14" outlineLevel="1">
      <c r="B52" s="43"/>
      <c r="C52" s="50"/>
      <c r="D52" s="59" t="s">
        <v>338</v>
      </c>
      <c r="E52" s="53">
        <v>-293541917.92658752</v>
      </c>
      <c r="F52" s="51"/>
      <c r="G52" s="44"/>
      <c r="H52" s="45"/>
      <c r="I52" s="143"/>
      <c r="L52" s="333"/>
      <c r="M52" s="103"/>
      <c r="N52" s="334"/>
    </row>
    <row r="53" spans="2:14" outlineLevel="1">
      <c r="B53" s="43"/>
      <c r="C53" s="50"/>
      <c r="D53" s="59" t="s">
        <v>339</v>
      </c>
      <c r="E53" s="53">
        <v>219885870.23324516</v>
      </c>
      <c r="F53" s="51"/>
      <c r="G53" s="44"/>
      <c r="H53" s="45"/>
      <c r="I53" s="143"/>
      <c r="L53" s="333"/>
      <c r="M53" s="103"/>
      <c r="N53" s="325"/>
    </row>
    <row r="54" spans="2:14" outlineLevel="1">
      <c r="B54" s="43"/>
      <c r="C54" s="50"/>
      <c r="D54" s="59" t="s">
        <v>340</v>
      </c>
      <c r="E54" s="53">
        <v>26935002.018225964</v>
      </c>
      <c r="F54" s="51"/>
      <c r="G54" s="44"/>
      <c r="H54" s="45"/>
      <c r="I54" s="143"/>
    </row>
    <row r="55" spans="2:14" outlineLevel="1">
      <c r="B55" s="43"/>
      <c r="C55" s="50"/>
      <c r="D55" s="59" t="s">
        <v>341</v>
      </c>
      <c r="E55" s="53">
        <v>1515388.7250000001</v>
      </c>
      <c r="F55" s="51"/>
      <c r="G55" s="44"/>
      <c r="H55" s="45"/>
      <c r="I55" s="143"/>
    </row>
    <row r="56" spans="2:14" outlineLevel="1">
      <c r="B56" s="43"/>
      <c r="C56" s="50"/>
      <c r="D56" s="59" t="s">
        <v>342</v>
      </c>
      <c r="E56" s="53">
        <v>1585000</v>
      </c>
      <c r="F56" s="51"/>
      <c r="G56" s="44"/>
      <c r="H56" s="45"/>
      <c r="I56" s="143"/>
    </row>
    <row r="57" spans="2:14" ht="6" customHeight="1" outlineLevel="1" thickBot="1">
      <c r="B57" s="43"/>
      <c r="C57" s="50"/>
      <c r="D57" s="45"/>
      <c r="E57" s="46"/>
      <c r="F57" s="51"/>
      <c r="G57" s="44"/>
      <c r="H57" s="45"/>
      <c r="I57" s="45"/>
    </row>
    <row r="58" spans="2:14" ht="15" customHeight="1">
      <c r="B58" s="43"/>
      <c r="C58" s="50"/>
      <c r="D58" s="55" t="s">
        <v>343</v>
      </c>
      <c r="E58" s="56">
        <v>-95736080.315297842</v>
      </c>
      <c r="F58" s="51"/>
      <c r="G58" s="44"/>
      <c r="H58" s="45"/>
      <c r="I58" s="45"/>
    </row>
    <row r="59" spans="2:14" ht="7.5" customHeight="1" thickBot="1">
      <c r="B59" s="43"/>
      <c r="C59" s="50"/>
      <c r="D59" s="341"/>
      <c r="E59" s="342"/>
      <c r="F59" s="51"/>
      <c r="G59" s="44"/>
      <c r="H59" s="45"/>
      <c r="I59" s="45"/>
    </row>
    <row r="60" spans="2:14">
      <c r="B60" s="43"/>
      <c r="C60" s="50"/>
      <c r="D60" s="343" t="s">
        <v>305</v>
      </c>
      <c r="E60" s="344" t="s">
        <v>307</v>
      </c>
      <c r="F60" s="51"/>
      <c r="G60" s="44"/>
      <c r="H60" s="45"/>
      <c r="I60" s="45"/>
    </row>
    <row r="61" spans="2:14" ht="6" customHeight="1">
      <c r="B61" s="43"/>
      <c r="C61" s="50"/>
      <c r="D61" s="45"/>
      <c r="E61" s="46"/>
      <c r="F61" s="51"/>
      <c r="G61" s="44"/>
      <c r="H61" s="45"/>
      <c r="I61" s="45"/>
    </row>
    <row r="62" spans="2:14">
      <c r="B62" s="43"/>
      <c r="C62" s="50"/>
      <c r="D62" s="52" t="s">
        <v>344</v>
      </c>
      <c r="E62" s="53">
        <v>2040923872.483</v>
      </c>
      <c r="F62" s="51"/>
      <c r="G62" s="44"/>
      <c r="H62" s="45"/>
      <c r="I62" s="45"/>
      <c r="J62" s="45"/>
    </row>
    <row r="63" spans="2:14" ht="6" customHeight="1">
      <c r="B63" s="43"/>
      <c r="C63" s="50"/>
      <c r="D63" s="45"/>
      <c r="E63" s="46"/>
      <c r="F63" s="51"/>
      <c r="G63" s="44"/>
      <c r="H63" s="45"/>
      <c r="I63" s="45"/>
    </row>
    <row r="64" spans="2:14">
      <c r="B64" s="43"/>
      <c r="C64" s="50"/>
      <c r="D64" s="54" t="s">
        <v>345</v>
      </c>
      <c r="E64" s="53">
        <v>-15533374.565128157</v>
      </c>
      <c r="F64" s="51"/>
      <c r="G64" s="44"/>
      <c r="H64" s="45"/>
      <c r="I64" s="45"/>
    </row>
    <row r="65" spans="2:11" ht="6" customHeight="1">
      <c r="B65" s="43"/>
      <c r="C65" s="50"/>
      <c r="D65" s="45"/>
      <c r="E65" s="46"/>
      <c r="F65" s="51"/>
      <c r="G65" s="44"/>
      <c r="H65" s="45"/>
      <c r="I65" s="45"/>
    </row>
    <row r="66" spans="2:11">
      <c r="B66" s="43"/>
      <c r="C66" s="50"/>
      <c r="D66" s="52" t="s">
        <v>346</v>
      </c>
      <c r="E66" s="53">
        <v>2025390497.917872</v>
      </c>
      <c r="F66" s="51"/>
      <c r="G66" s="44"/>
      <c r="H66" s="45"/>
      <c r="I66" s="45"/>
    </row>
    <row r="67" spans="2:11" ht="6" customHeight="1">
      <c r="B67" s="43"/>
      <c r="C67" s="50"/>
      <c r="D67" s="45"/>
      <c r="E67" s="46"/>
      <c r="F67" s="51"/>
      <c r="G67" s="44"/>
      <c r="H67" s="45"/>
      <c r="I67" s="45"/>
    </row>
    <row r="68" spans="2:11" ht="6" customHeight="1">
      <c r="B68" s="43"/>
      <c r="C68" s="50"/>
      <c r="D68" s="45"/>
      <c r="E68" s="46"/>
      <c r="F68" s="51"/>
      <c r="G68" s="44"/>
      <c r="H68" s="45"/>
      <c r="I68" s="45"/>
    </row>
    <row r="69" spans="2:11">
      <c r="B69" s="43"/>
      <c r="C69" s="50"/>
      <c r="D69" s="52" t="s">
        <v>347</v>
      </c>
      <c r="E69" s="53">
        <v>1935227414.5264895</v>
      </c>
      <c r="F69" s="51"/>
      <c r="G69" s="44"/>
      <c r="H69" s="45"/>
      <c r="I69" s="45"/>
    </row>
    <row r="70" spans="2:11" ht="7.5" customHeight="1">
      <c r="B70" s="43"/>
      <c r="C70" s="50"/>
      <c r="D70" s="52"/>
      <c r="E70" s="46"/>
      <c r="F70" s="51"/>
      <c r="G70" s="44"/>
      <c r="H70" s="45"/>
      <c r="I70" s="332"/>
    </row>
    <row r="71" spans="2:11" ht="15.75" thickBot="1">
      <c r="B71" s="43"/>
      <c r="C71" s="50"/>
      <c r="D71" s="331" t="s">
        <v>348</v>
      </c>
      <c r="E71" s="330">
        <v>4.6590433100826889E-2</v>
      </c>
      <c r="F71" s="51"/>
      <c r="G71" s="44"/>
      <c r="H71" s="329"/>
      <c r="I71" s="328"/>
      <c r="K71" s="325"/>
    </row>
    <row r="72" spans="2:11" ht="9" customHeight="1" thickBot="1">
      <c r="B72" s="43"/>
      <c r="C72" s="61"/>
      <c r="D72" s="62"/>
      <c r="E72" s="62"/>
      <c r="F72" s="63"/>
      <c r="G72" s="44"/>
      <c r="H72" s="36"/>
      <c r="I72" s="36"/>
    </row>
    <row r="73" spans="2:11" ht="4.9000000000000004" customHeight="1">
      <c r="B73" s="64"/>
      <c r="C73" s="65"/>
      <c r="D73" s="66"/>
      <c r="E73" s="66"/>
      <c r="F73" s="65"/>
      <c r="G73" s="67"/>
    </row>
    <row r="74" spans="2:11">
      <c r="E74" s="325"/>
    </row>
    <row r="75" spans="2:11">
      <c r="D75" s="327"/>
      <c r="E75" s="326"/>
    </row>
    <row r="76" spans="2:11">
      <c r="E76" s="325"/>
    </row>
    <row r="77" spans="2:11">
      <c r="E77" s="325"/>
    </row>
    <row r="78" spans="2:11"/>
    <row r="79" spans="2:11"/>
    <row r="80" spans="2:11"/>
    <row r="81"/>
    <row r="82"/>
    <row r="83"/>
    <row r="84"/>
  </sheetData>
  <mergeCells count="1">
    <mergeCell ref="C8:F8"/>
  </mergeCells>
  <pageMargins left="0.511811024" right="0.511811024" top="0.78740157499999996" bottom="0.78740157499999996" header="0.31496062000000002" footer="0.31496062000000002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B50F7-CFE2-4D1B-99AA-69EE3C0750B0}">
  <sheetPr>
    <tabColor theme="3" tint="0.79998168889431442"/>
  </sheetPr>
  <dimension ref="A1:AD35"/>
  <sheetViews>
    <sheetView showGridLines="0" zoomScale="90" zoomScaleNormal="90" workbookViewId="0">
      <selection activeCell="F14" sqref="F14:M14"/>
    </sheetView>
  </sheetViews>
  <sheetFormatPr defaultColWidth="0" defaultRowHeight="15" zeroHeight="1"/>
  <cols>
    <col min="1" max="12" width="9.140625" customWidth="1"/>
    <col min="13" max="13" width="6.7109375" customWidth="1"/>
    <col min="14" max="24" width="9.140625" customWidth="1"/>
    <col min="25" max="25" width="4" customWidth="1"/>
    <col min="26" max="28" width="9.140625" customWidth="1"/>
    <col min="29" max="29" width="10.7109375" customWidth="1"/>
    <col min="30" max="30" width="1.85546875" customWidth="1"/>
    <col min="31" max="16384" width="9.140625" hidden="1"/>
  </cols>
  <sheetData>
    <row r="1" spans="6:19" s="21" customFormat="1" ht="5.0999999999999996" customHeight="1"/>
    <row r="2" spans="6:19" s="21" customFormat="1"/>
    <row r="3" spans="6:19" s="83" customFormat="1"/>
    <row r="4" spans="6:19" s="83" customFormat="1"/>
    <row r="5" spans="6:19" s="83" customFormat="1" ht="20.100000000000001" customHeight="1"/>
    <row r="6" spans="6:19"/>
    <row r="7" spans="6:19"/>
    <row r="8" spans="6:19"/>
    <row r="9" spans="6:19"/>
    <row r="10" spans="6:19"/>
    <row r="11" spans="6:19" ht="15.75">
      <c r="F11" s="504" t="s">
        <v>0</v>
      </c>
      <c r="G11" s="497"/>
      <c r="H11" s="497"/>
      <c r="I11" s="497"/>
      <c r="J11" s="497"/>
      <c r="K11" s="497"/>
      <c r="L11" s="497"/>
      <c r="M11" s="497"/>
      <c r="N11" s="504" t="s">
        <v>1</v>
      </c>
      <c r="O11" s="497"/>
      <c r="P11" s="497"/>
      <c r="Q11" s="100"/>
      <c r="S11" s="99"/>
    </row>
    <row r="12" spans="6:19" ht="18" customHeight="1">
      <c r="F12" s="502" t="s">
        <v>2</v>
      </c>
      <c r="G12" s="502"/>
      <c r="H12" s="502"/>
      <c r="I12" s="502"/>
      <c r="J12" s="502"/>
      <c r="K12" s="502"/>
      <c r="L12" s="502"/>
      <c r="M12" s="502"/>
      <c r="N12" s="503" t="s">
        <v>3</v>
      </c>
      <c r="O12" s="503"/>
      <c r="P12" s="503"/>
      <c r="Q12" s="100"/>
    </row>
    <row r="13" spans="6:19" ht="18" customHeight="1">
      <c r="F13" s="502" t="s">
        <v>4</v>
      </c>
      <c r="G13" s="502"/>
      <c r="H13" s="502"/>
      <c r="I13" s="502"/>
      <c r="J13" s="502"/>
      <c r="K13" s="502"/>
      <c r="L13" s="502"/>
      <c r="M13" s="502"/>
      <c r="N13" s="503" t="s">
        <v>5</v>
      </c>
      <c r="O13" s="503"/>
      <c r="P13" s="503"/>
      <c r="Q13" s="100"/>
    </row>
    <row r="14" spans="6:19" ht="18" customHeight="1">
      <c r="F14" s="502" t="s">
        <v>6</v>
      </c>
      <c r="G14" s="502"/>
      <c r="H14" s="502"/>
      <c r="I14" s="502"/>
      <c r="J14" s="502"/>
      <c r="K14" s="502"/>
      <c r="L14" s="502"/>
      <c r="M14" s="502"/>
      <c r="N14" s="503" t="s">
        <v>7</v>
      </c>
      <c r="O14" s="503"/>
      <c r="P14" s="503"/>
      <c r="Q14" s="100"/>
    </row>
    <row r="15" spans="6:19" ht="18" customHeight="1">
      <c r="F15" s="502" t="s">
        <v>8</v>
      </c>
      <c r="G15" s="502"/>
      <c r="H15" s="502"/>
      <c r="I15" s="502"/>
      <c r="J15" s="502"/>
      <c r="K15" s="502"/>
      <c r="L15" s="502"/>
      <c r="M15" s="502"/>
      <c r="N15" s="503" t="s">
        <v>3</v>
      </c>
      <c r="O15" s="503"/>
      <c r="P15" s="503"/>
      <c r="Q15" s="100"/>
    </row>
    <row r="16" spans="6:19" ht="18" customHeight="1">
      <c r="F16" s="502" t="s">
        <v>9</v>
      </c>
      <c r="G16" s="502"/>
      <c r="H16" s="502"/>
      <c r="I16" s="502"/>
      <c r="J16" s="502"/>
      <c r="K16" s="502"/>
      <c r="L16" s="502"/>
      <c r="M16" s="502"/>
      <c r="N16" s="503" t="s">
        <v>10</v>
      </c>
      <c r="O16" s="503"/>
      <c r="P16" s="503"/>
      <c r="Q16" s="100"/>
    </row>
    <row r="17" spans="6:17" ht="18" customHeight="1">
      <c r="F17" s="502" t="s">
        <v>11</v>
      </c>
      <c r="G17" s="502"/>
      <c r="H17" s="502"/>
      <c r="I17" s="502"/>
      <c r="J17" s="502"/>
      <c r="K17" s="502"/>
      <c r="L17" s="502"/>
      <c r="M17" s="502"/>
      <c r="N17" s="503" t="s">
        <v>10</v>
      </c>
      <c r="O17" s="503"/>
      <c r="P17" s="503"/>
      <c r="Q17" s="100"/>
    </row>
    <row r="18" spans="6:17" ht="18" customHeight="1">
      <c r="F18" s="502" t="s">
        <v>12</v>
      </c>
      <c r="G18" s="502"/>
      <c r="H18" s="502"/>
      <c r="I18" s="502"/>
      <c r="J18" s="502"/>
      <c r="K18" s="502"/>
      <c r="L18" s="502"/>
      <c r="M18" s="502"/>
      <c r="N18" s="503" t="s">
        <v>13</v>
      </c>
      <c r="O18" s="503"/>
      <c r="P18" s="503"/>
      <c r="Q18" s="100"/>
    </row>
    <row r="19" spans="6:17" ht="18" customHeight="1">
      <c r="F19" s="502" t="s">
        <v>14</v>
      </c>
      <c r="G19" s="502"/>
      <c r="H19" s="502"/>
      <c r="I19" s="502"/>
      <c r="J19" s="502"/>
      <c r="K19" s="502"/>
      <c r="L19" s="502"/>
      <c r="M19" s="502"/>
      <c r="N19" s="503" t="s">
        <v>10</v>
      </c>
      <c r="O19" s="503"/>
      <c r="P19" s="503"/>
    </row>
    <row r="20" spans="6:17"/>
    <row r="21" spans="6:17"/>
    <row r="22" spans="6:17"/>
    <row r="23" spans="6:17"/>
    <row r="24" spans="6:17"/>
    <row r="25" spans="6:17"/>
    <row r="26" spans="6:17"/>
    <row r="27" spans="6:17"/>
    <row r="28" spans="6:17"/>
    <row r="29" spans="6:17"/>
    <row r="30" spans="6:17"/>
    <row r="31" spans="6:17"/>
    <row r="32" spans="6:17"/>
    <row r="33"/>
    <row r="34"/>
    <row r="35"/>
  </sheetData>
  <mergeCells count="18">
    <mergeCell ref="N11:P11"/>
    <mergeCell ref="F11:M11"/>
    <mergeCell ref="F15:M15"/>
    <mergeCell ref="F16:M16"/>
    <mergeCell ref="F17:M17"/>
    <mergeCell ref="N12:P12"/>
    <mergeCell ref="N13:P13"/>
    <mergeCell ref="N14:P14"/>
    <mergeCell ref="N15:P15"/>
    <mergeCell ref="F12:M12"/>
    <mergeCell ref="F13:M13"/>
    <mergeCell ref="F14:M14"/>
    <mergeCell ref="F18:M18"/>
    <mergeCell ref="F19:M19"/>
    <mergeCell ref="N18:P18"/>
    <mergeCell ref="N19:P19"/>
    <mergeCell ref="N16:P16"/>
    <mergeCell ref="N17:P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5CCA-3F63-4FF9-8DDB-E12298265160}">
  <sheetPr>
    <tabColor theme="3" tint="0.79998168889431442"/>
  </sheetPr>
  <dimension ref="A1:T53"/>
  <sheetViews>
    <sheetView showGridLines="0" topLeftCell="A14" zoomScale="90" zoomScaleNormal="90" workbookViewId="0">
      <selection activeCell="E23" sqref="E23"/>
    </sheetView>
  </sheetViews>
  <sheetFormatPr defaultColWidth="0" defaultRowHeight="15" zeroHeight="1"/>
  <cols>
    <col min="1" max="1" width="6.5703125" customWidth="1"/>
    <col min="2" max="2" width="12" customWidth="1"/>
    <col min="3" max="3" width="15.28515625" bestFit="1" customWidth="1"/>
    <col min="4" max="4" width="15" customWidth="1"/>
    <col min="5" max="5" width="13.5703125" customWidth="1"/>
    <col min="6" max="6" width="17.85546875" customWidth="1"/>
    <col min="7" max="7" width="15" customWidth="1"/>
    <col min="8" max="8" width="16.28515625" customWidth="1"/>
    <col min="9" max="9" width="14.28515625" bestFit="1" customWidth="1"/>
    <col min="10" max="10" width="16.85546875" bestFit="1" customWidth="1"/>
    <col min="11" max="12" width="12.7109375" customWidth="1"/>
    <col min="13" max="13" width="17.140625" customWidth="1"/>
    <col min="14" max="14" width="16.42578125" bestFit="1" customWidth="1"/>
    <col min="15" max="15" width="12.7109375" customWidth="1"/>
    <col min="16" max="16" width="12.7109375" bestFit="1" customWidth="1"/>
    <col min="17" max="17" width="15.7109375" bestFit="1" customWidth="1"/>
    <col min="18" max="18" width="16.42578125" customWidth="1"/>
    <col min="19" max="19" width="13.7109375" hidden="1" customWidth="1"/>
    <col min="20" max="20" width="9.85546875" hidden="1" customWidth="1"/>
    <col min="21" max="16384" width="13.7109375" hidden="1"/>
  </cols>
  <sheetData>
    <row r="1" spans="2:8" s="21" customFormat="1" ht="3" customHeight="1"/>
    <row r="2" spans="2:8" s="21" customFormat="1"/>
    <row r="3" spans="2:8" s="83" customFormat="1"/>
    <row r="4" spans="2:8" s="83" customFormat="1"/>
    <row r="5" spans="2:8" s="83" customFormat="1" ht="20.100000000000001" customHeight="1"/>
    <row r="6" spans="2:8" s="21" customFormat="1" ht="6.75" customHeight="1"/>
    <row r="7" spans="2:8"/>
    <row r="8" spans="2:8">
      <c r="B8" s="498" t="s">
        <v>15</v>
      </c>
      <c r="C8" s="499"/>
      <c r="D8" s="499"/>
      <c r="E8" s="499"/>
      <c r="F8" s="505"/>
      <c r="G8" s="96"/>
      <c r="H8" s="29"/>
    </row>
    <row r="9" spans="2:8" ht="15" customHeight="1">
      <c r="B9" s="512" t="s">
        <v>16</v>
      </c>
      <c r="C9" s="512"/>
      <c r="D9" s="512"/>
      <c r="E9" s="215" t="s">
        <v>17</v>
      </c>
      <c r="F9" s="215" t="s">
        <v>18</v>
      </c>
      <c r="G9" s="97"/>
      <c r="H9" s="29"/>
    </row>
    <row r="10" spans="2:8">
      <c r="B10" s="506">
        <v>45627</v>
      </c>
      <c r="C10" s="506"/>
      <c r="D10" s="506"/>
      <c r="E10" s="345">
        <v>7286.35</v>
      </c>
      <c r="F10" s="345">
        <v>7100.5</v>
      </c>
      <c r="G10" s="98"/>
      <c r="H10" s="84"/>
    </row>
    <row r="11" spans="2:8">
      <c r="B11" s="506">
        <f t="shared" ref="B11:B22" si="0">+B10+31</f>
        <v>45658</v>
      </c>
      <c r="C11" s="506"/>
      <c r="D11" s="506"/>
      <c r="E11" s="345">
        <v>7286.35</v>
      </c>
      <c r="F11" s="345">
        <v>7111.86</v>
      </c>
      <c r="G11" s="98"/>
      <c r="H11" s="85"/>
    </row>
    <row r="12" spans="2:8">
      <c r="B12" s="506">
        <f t="shared" si="0"/>
        <v>45689</v>
      </c>
      <c r="C12" s="506"/>
      <c r="D12" s="506"/>
      <c r="E12" s="345">
        <v>7394.19</v>
      </c>
      <c r="F12" s="345">
        <v>7205.03</v>
      </c>
      <c r="G12" s="98"/>
      <c r="H12" s="85"/>
    </row>
    <row r="13" spans="2:8">
      <c r="B13" s="506">
        <f t="shared" si="0"/>
        <v>45720</v>
      </c>
      <c r="C13" s="506"/>
      <c r="D13" s="506"/>
      <c r="E13" s="345">
        <v>7431.9</v>
      </c>
      <c r="F13" s="345">
        <v>7245.38</v>
      </c>
      <c r="G13" s="98"/>
      <c r="H13" s="85"/>
    </row>
    <row r="14" spans="2:8">
      <c r="B14" s="506">
        <f t="shared" si="0"/>
        <v>45751</v>
      </c>
      <c r="C14" s="506"/>
      <c r="D14" s="506"/>
      <c r="E14" s="345">
        <v>7467.57</v>
      </c>
      <c r="F14" s="345">
        <v>7276.54</v>
      </c>
      <c r="G14" s="98"/>
      <c r="H14" s="85"/>
    </row>
    <row r="15" spans="2:8">
      <c r="B15" s="506">
        <f t="shared" si="0"/>
        <v>45782</v>
      </c>
      <c r="C15" s="506"/>
      <c r="D15" s="506"/>
      <c r="E15" s="345">
        <v>7493.71</v>
      </c>
      <c r="F15" s="345">
        <v>7295.46</v>
      </c>
      <c r="G15" s="98"/>
      <c r="H15" s="85"/>
    </row>
    <row r="16" spans="2:8">
      <c r="B16" s="506">
        <f t="shared" si="0"/>
        <v>45813</v>
      </c>
      <c r="C16" s="506"/>
      <c r="D16" s="506"/>
      <c r="E16" s="345">
        <v>7510.95</v>
      </c>
      <c r="F16" s="345">
        <v>7312.97</v>
      </c>
      <c r="G16" s="98"/>
      <c r="H16" s="85"/>
    </row>
    <row r="17" spans="2:19">
      <c r="B17" s="506">
        <f t="shared" si="0"/>
        <v>45844</v>
      </c>
      <c r="C17" s="506"/>
      <c r="D17" s="506"/>
      <c r="E17" s="345">
        <v>7526.72</v>
      </c>
      <c r="F17" s="345">
        <v>7331.98</v>
      </c>
      <c r="G17" s="98"/>
      <c r="H17" s="85"/>
    </row>
    <row r="18" spans="2:19">
      <c r="B18" s="506">
        <f t="shared" si="0"/>
        <v>45875</v>
      </c>
      <c r="C18" s="506"/>
      <c r="D18" s="506"/>
      <c r="E18" s="345">
        <v>7510.91</v>
      </c>
      <c r="F18" s="345">
        <v>7323.91</v>
      </c>
      <c r="G18" s="98"/>
      <c r="H18" s="85"/>
    </row>
    <row r="19" spans="2:19">
      <c r="B19" s="506">
        <f t="shared" si="0"/>
        <v>45906</v>
      </c>
      <c r="C19" s="506"/>
      <c r="D19" s="506"/>
      <c r="E19" s="345">
        <v>7549.97</v>
      </c>
      <c r="F19" s="345">
        <v>7359.06</v>
      </c>
      <c r="G19" s="98"/>
      <c r="H19" s="85"/>
    </row>
    <row r="20" spans="2:19">
      <c r="B20" s="506">
        <f t="shared" si="0"/>
        <v>45937</v>
      </c>
      <c r="C20" s="506"/>
      <c r="D20" s="506"/>
      <c r="E20" s="345">
        <v>7552.23</v>
      </c>
      <c r="F20" s="345">
        <v>7365.68</v>
      </c>
      <c r="G20" s="98"/>
      <c r="H20" s="85"/>
    </row>
    <row r="21" spans="2:19">
      <c r="B21" s="506">
        <f t="shared" si="0"/>
        <v>45968</v>
      </c>
      <c r="C21" s="506"/>
      <c r="D21" s="506"/>
      <c r="E21" s="345">
        <v>7554.5</v>
      </c>
      <c r="F21" s="345">
        <v>7378.94</v>
      </c>
      <c r="G21" s="98"/>
      <c r="H21" s="85"/>
    </row>
    <row r="22" spans="2:19" ht="15" customHeight="1">
      <c r="B22" s="506">
        <f t="shared" si="0"/>
        <v>45999</v>
      </c>
      <c r="C22" s="506"/>
      <c r="D22" s="506"/>
      <c r="E22" s="345">
        <v>7570.36</v>
      </c>
      <c r="F22" s="345">
        <v>7403.29</v>
      </c>
      <c r="G22" s="98"/>
      <c r="H22" s="85"/>
    </row>
    <row r="23" spans="2:19" ht="15" customHeight="1">
      <c r="B23" s="497" t="s">
        <v>19</v>
      </c>
      <c r="C23" s="497"/>
      <c r="D23" s="497"/>
      <c r="E23" s="234">
        <f>E22/E10-1</f>
        <v>3.8978363652583115E-2</v>
      </c>
      <c r="F23" s="234">
        <f>F22/F10-1</f>
        <v>4.2643475811562581E-2</v>
      </c>
      <c r="G23" s="313"/>
      <c r="H23" s="85"/>
    </row>
    <row r="24" spans="2:19" ht="15" customHeight="1">
      <c r="B24" s="190" t="s">
        <v>20</v>
      </c>
      <c r="C24" s="87"/>
      <c r="D24" s="87"/>
      <c r="E24" s="29"/>
      <c r="F24" s="29"/>
      <c r="G24" s="29"/>
      <c r="H24" s="313"/>
      <c r="I24" s="29"/>
    </row>
    <row r="25" spans="2:19">
      <c r="B25" s="29"/>
      <c r="C25" s="88"/>
      <c r="D25" s="88"/>
      <c r="E25" s="29"/>
      <c r="F25" s="29"/>
      <c r="G25" s="29"/>
      <c r="H25" s="313"/>
    </row>
    <row r="26" spans="2:19" ht="17.25">
      <c r="B26" s="511" t="s">
        <v>21</v>
      </c>
      <c r="C26" s="511"/>
      <c r="D26" s="511"/>
      <c r="E26" s="511"/>
      <c r="F26" s="511"/>
      <c r="G26" s="511"/>
      <c r="H26" s="1"/>
      <c r="I26" s="21"/>
      <c r="J26" s="21"/>
      <c r="K26" s="21"/>
      <c r="L26" s="107"/>
      <c r="M26" s="399"/>
      <c r="N26" s="399"/>
      <c r="O26" s="399"/>
      <c r="P26" s="107"/>
      <c r="Q26" s="21"/>
      <c r="R26" s="21"/>
      <c r="S26" s="21"/>
    </row>
    <row r="27" spans="2:19" ht="31.5" customHeight="1">
      <c r="B27" s="235" t="s">
        <v>16</v>
      </c>
      <c r="C27" s="235" t="s">
        <v>22</v>
      </c>
      <c r="D27" s="235" t="s">
        <v>23</v>
      </c>
      <c r="E27" s="235" t="s">
        <v>24</v>
      </c>
      <c r="F27" s="235" t="s">
        <v>25</v>
      </c>
      <c r="G27" s="235" t="s">
        <v>26</v>
      </c>
      <c r="H27" s="1"/>
      <c r="I27" s="179"/>
      <c r="J27" s="179"/>
      <c r="K27" s="179"/>
      <c r="L27" s="400"/>
      <c r="M27" s="179"/>
      <c r="N27" s="179"/>
      <c r="O27" s="179"/>
      <c r="P27" s="107"/>
      <c r="Q27" s="179"/>
      <c r="R27" s="179"/>
      <c r="S27" s="179"/>
    </row>
    <row r="28" spans="2:19" ht="15" customHeight="1">
      <c r="B28" s="407">
        <v>45292</v>
      </c>
      <c r="C28" s="242">
        <v>18015558.129999999</v>
      </c>
      <c r="D28" s="242">
        <v>25361133</v>
      </c>
      <c r="E28" s="407">
        <v>45658</v>
      </c>
      <c r="F28" s="242">
        <v>13633775.710000006</v>
      </c>
      <c r="G28" s="242">
        <v>28835367</v>
      </c>
      <c r="H28" s="393"/>
      <c r="I28" s="21"/>
      <c r="J28" s="401"/>
      <c r="K28" s="402"/>
      <c r="L28" s="107"/>
      <c r="M28" s="21"/>
      <c r="N28" s="403"/>
      <c r="O28" s="404"/>
      <c r="P28" s="107"/>
      <c r="Q28" s="21"/>
      <c r="R28" s="405"/>
      <c r="S28" s="404"/>
    </row>
    <row r="29" spans="2:19" ht="15" customHeight="1">
      <c r="B29" s="407">
        <f t="shared" ref="B29:B39" si="1">EDATE(B28,1)</f>
        <v>45323</v>
      </c>
      <c r="C29" s="242">
        <v>18353333.890000001</v>
      </c>
      <c r="D29" s="242">
        <v>24626602</v>
      </c>
      <c r="E29" s="407">
        <f t="shared" ref="E29:E39" si="2">EDATE(E28,1)</f>
        <v>45689</v>
      </c>
      <c r="F29" s="242">
        <v>13942322.640000006</v>
      </c>
      <c r="G29" s="242">
        <v>28104902.656798061</v>
      </c>
      <c r="H29" s="393"/>
      <c r="I29" s="21"/>
      <c r="J29" s="401"/>
      <c r="K29" s="402"/>
      <c r="L29" s="107"/>
      <c r="M29" s="21"/>
      <c r="N29" s="403"/>
      <c r="O29" s="404"/>
      <c r="P29" s="107"/>
      <c r="Q29" s="107"/>
      <c r="R29" s="107"/>
      <c r="S29" s="107"/>
    </row>
    <row r="30" spans="2:19" ht="15" customHeight="1">
      <c r="B30" s="407">
        <f t="shared" si="1"/>
        <v>45352</v>
      </c>
      <c r="C30" s="242">
        <v>17958238.260000002</v>
      </c>
      <c r="D30" s="242">
        <v>23853167</v>
      </c>
      <c r="E30" s="407">
        <f t="shared" si="2"/>
        <v>45717</v>
      </c>
      <c r="F30" s="242">
        <v>13563176.760000009</v>
      </c>
      <c r="G30" s="242">
        <v>28603113.999957021</v>
      </c>
      <c r="H30" s="393"/>
      <c r="I30" s="21"/>
      <c r="J30" s="401"/>
      <c r="K30" s="402"/>
      <c r="L30" s="107"/>
      <c r="M30" s="21"/>
      <c r="N30" s="403"/>
      <c r="O30" s="404"/>
      <c r="P30" s="107"/>
      <c r="Q30" s="107"/>
      <c r="R30" s="107"/>
      <c r="S30" s="107"/>
    </row>
    <row r="31" spans="2:19" ht="15" customHeight="1">
      <c r="B31" s="407">
        <f t="shared" si="1"/>
        <v>45383</v>
      </c>
      <c r="C31" s="242">
        <v>18729643.789999999</v>
      </c>
      <c r="D31" s="242">
        <v>25348172</v>
      </c>
      <c r="E31" s="407">
        <f t="shared" si="2"/>
        <v>45748</v>
      </c>
      <c r="F31" s="242">
        <v>14279873.700000005</v>
      </c>
      <c r="G31" s="242">
        <v>29522888.946435004</v>
      </c>
      <c r="H31" s="393"/>
      <c r="I31" s="21"/>
      <c r="J31" s="401"/>
      <c r="K31" s="402"/>
      <c r="L31" s="107"/>
      <c r="M31" s="21"/>
      <c r="N31" s="403"/>
      <c r="O31" s="404"/>
      <c r="P31" s="107"/>
      <c r="Q31" s="107"/>
      <c r="R31" s="107"/>
      <c r="S31" s="107"/>
    </row>
    <row r="32" spans="2:19" ht="15" customHeight="1">
      <c r="B32" s="407">
        <f t="shared" si="1"/>
        <v>45413</v>
      </c>
      <c r="C32" s="242">
        <v>19594370.079999998</v>
      </c>
      <c r="D32" s="242">
        <v>26798394</v>
      </c>
      <c r="E32" s="407">
        <f t="shared" si="2"/>
        <v>45778</v>
      </c>
      <c r="F32" s="242">
        <v>16466730.449999999</v>
      </c>
      <c r="G32" s="242">
        <v>28647613.725739822</v>
      </c>
      <c r="H32" s="393"/>
      <c r="I32" s="21"/>
      <c r="J32" s="401"/>
      <c r="K32" s="402"/>
      <c r="L32" s="107"/>
      <c r="M32" s="178"/>
      <c r="N32" s="392"/>
      <c r="O32" s="392"/>
      <c r="P32" s="422"/>
      <c r="Q32" s="427"/>
      <c r="R32" s="427"/>
      <c r="S32" s="107"/>
    </row>
    <row r="33" spans="2:19" ht="15" customHeight="1">
      <c r="B33" s="407">
        <f t="shared" si="1"/>
        <v>45444</v>
      </c>
      <c r="C33" s="242">
        <v>20407822.010000002</v>
      </c>
      <c r="D33" s="242">
        <v>28143279</v>
      </c>
      <c r="E33" s="407">
        <f t="shared" si="2"/>
        <v>45809</v>
      </c>
      <c r="F33" s="242">
        <v>17781298.079999994</v>
      </c>
      <c r="G33" s="242">
        <v>28451494.305867828</v>
      </c>
      <c r="H33" s="393"/>
      <c r="I33" s="21"/>
      <c r="J33" s="401"/>
      <c r="K33" s="402"/>
      <c r="L33" s="107"/>
      <c r="M33" s="21"/>
      <c r="N33" s="403"/>
      <c r="O33" s="404"/>
      <c r="P33" s="107"/>
      <c r="Q33" s="107"/>
      <c r="R33" s="107"/>
      <c r="S33" s="107"/>
    </row>
    <row r="34" spans="2:19" ht="15" customHeight="1">
      <c r="B34" s="407">
        <f t="shared" si="1"/>
        <v>45474</v>
      </c>
      <c r="C34" s="242">
        <v>18008493.359999999</v>
      </c>
      <c r="D34" s="242">
        <v>25297013</v>
      </c>
      <c r="E34" s="407">
        <f t="shared" si="2"/>
        <v>45839</v>
      </c>
      <c r="F34" s="242">
        <v>18107392.970000003</v>
      </c>
      <c r="G34" s="242">
        <v>29336199.630426843</v>
      </c>
      <c r="H34" s="393"/>
      <c r="I34" s="21"/>
      <c r="J34" s="401"/>
      <c r="K34" s="402"/>
      <c r="L34" s="107"/>
      <c r="M34" s="21"/>
      <c r="N34" s="403"/>
      <c r="O34" s="404"/>
      <c r="P34" s="107"/>
      <c r="Q34" s="107"/>
      <c r="R34" s="107"/>
      <c r="S34" s="107"/>
    </row>
    <row r="35" spans="2:19" ht="15" customHeight="1">
      <c r="B35" s="407">
        <f t="shared" si="1"/>
        <v>45505</v>
      </c>
      <c r="C35" s="242">
        <v>18121922.23</v>
      </c>
      <c r="D35" s="242">
        <v>25111478</v>
      </c>
      <c r="E35" s="407">
        <f t="shared" si="2"/>
        <v>45870</v>
      </c>
      <c r="F35" s="242">
        <v>18620204.640000008</v>
      </c>
      <c r="G35" s="242">
        <v>30355710.137973756</v>
      </c>
      <c r="H35" s="393"/>
      <c r="I35" s="21"/>
      <c r="J35" s="401"/>
      <c r="K35" s="402"/>
      <c r="L35" s="107"/>
      <c r="M35" s="424"/>
      <c r="N35" s="403"/>
      <c r="O35" s="404"/>
      <c r="P35" s="107"/>
      <c r="Q35" s="107"/>
      <c r="R35" s="107"/>
      <c r="S35" s="107"/>
    </row>
    <row r="36" spans="2:19" ht="15" customHeight="1">
      <c r="B36" s="407">
        <f t="shared" si="1"/>
        <v>45536</v>
      </c>
      <c r="C36" s="242">
        <v>18264248.870000001</v>
      </c>
      <c r="D36" s="242">
        <v>26792877</v>
      </c>
      <c r="E36" s="407">
        <f t="shared" si="2"/>
        <v>45901</v>
      </c>
      <c r="F36" s="242">
        <v>19108157.760000009</v>
      </c>
      <c r="G36" s="242">
        <v>30029097.479334135</v>
      </c>
      <c r="H36" s="393"/>
      <c r="I36" s="21"/>
      <c r="J36" s="401"/>
      <c r="K36" s="402"/>
      <c r="L36" s="107"/>
      <c r="M36" s="424"/>
      <c r="N36" s="403"/>
      <c r="O36" s="404"/>
      <c r="P36" s="107"/>
      <c r="Q36" s="107"/>
      <c r="R36" s="107"/>
      <c r="S36" s="107"/>
    </row>
    <row r="37" spans="2:19" ht="15" customHeight="1">
      <c r="B37" s="407">
        <f t="shared" si="1"/>
        <v>45566</v>
      </c>
      <c r="C37" s="242">
        <v>19891487.789999999</v>
      </c>
      <c r="D37" s="242">
        <v>28884190</v>
      </c>
      <c r="E37" s="407">
        <f t="shared" si="2"/>
        <v>45931</v>
      </c>
      <c r="F37" s="242">
        <v>19131662.609999999</v>
      </c>
      <c r="G37" s="242">
        <v>30145751.036577221</v>
      </c>
      <c r="H37" s="393"/>
      <c r="I37" s="21"/>
      <c r="J37" s="401"/>
      <c r="K37" s="402"/>
      <c r="L37" s="107"/>
      <c r="M37" s="424"/>
      <c r="N37" s="403"/>
      <c r="O37" s="404"/>
      <c r="P37" s="107"/>
      <c r="Q37" s="107"/>
      <c r="R37" s="107"/>
      <c r="S37" s="107"/>
    </row>
    <row r="38" spans="2:19" ht="15" customHeight="1">
      <c r="B38" s="407">
        <f t="shared" si="1"/>
        <v>45597</v>
      </c>
      <c r="C38" s="242">
        <v>18316455.190000001</v>
      </c>
      <c r="D38" s="242">
        <v>33963480</v>
      </c>
      <c r="E38" s="407">
        <f t="shared" si="2"/>
        <v>45962</v>
      </c>
      <c r="F38" s="242">
        <v>19717228.000000007</v>
      </c>
      <c r="G38" s="242">
        <v>29171933.607473083</v>
      </c>
      <c r="H38" s="428"/>
      <c r="I38" s="392"/>
      <c r="J38" s="401"/>
      <c r="K38" s="402"/>
      <c r="L38" s="107"/>
      <c r="M38" s="424"/>
      <c r="N38" s="403"/>
      <c r="O38" s="404"/>
      <c r="P38" s="107"/>
      <c r="Q38" s="107"/>
      <c r="R38" s="107"/>
      <c r="S38" s="107"/>
    </row>
    <row r="39" spans="2:19" ht="15" customHeight="1">
      <c r="B39" s="407">
        <f t="shared" si="1"/>
        <v>45627</v>
      </c>
      <c r="C39" s="242">
        <v>23167899.149999999</v>
      </c>
      <c r="D39" s="242">
        <v>46525151.37978147</v>
      </c>
      <c r="E39" s="407">
        <f t="shared" si="2"/>
        <v>45992</v>
      </c>
      <c r="F39" s="242">
        <v>20465448.690000001</v>
      </c>
      <c r="G39" s="242">
        <v>29089357.517021485</v>
      </c>
      <c r="H39" s="428"/>
      <c r="I39" s="392"/>
      <c r="J39" s="421"/>
      <c r="K39" s="402"/>
      <c r="L39" s="107"/>
      <c r="M39" s="424"/>
      <c r="N39" s="403"/>
      <c r="O39" s="404"/>
      <c r="P39" s="107"/>
      <c r="Q39" s="107"/>
      <c r="R39" s="107"/>
      <c r="S39" s="107"/>
    </row>
    <row r="40" spans="2:19" ht="15" customHeight="1">
      <c r="B40" s="408" t="s">
        <v>27</v>
      </c>
      <c r="C40" s="409">
        <f>SUM(C28:C39)</f>
        <v>228829472.75</v>
      </c>
      <c r="D40" s="409">
        <f>SUM(D28:D39)</f>
        <v>340704936.37978148</v>
      </c>
      <c r="E40" s="408" t="s">
        <v>27</v>
      </c>
      <c r="F40" s="409">
        <f>SUM(F28:F39)</f>
        <v>204817272.01000005</v>
      </c>
      <c r="G40" s="409">
        <f>SUM(G28:G39)</f>
        <v>350293430.04360425</v>
      </c>
      <c r="H40" s="428"/>
      <c r="I40" s="21"/>
      <c r="J40" s="401"/>
      <c r="K40" s="402"/>
      <c r="L40" s="107"/>
      <c r="M40" s="424"/>
      <c r="N40" s="405"/>
      <c r="O40" s="404"/>
      <c r="P40" s="107"/>
      <c r="Q40" s="107"/>
      <c r="R40" s="107"/>
      <c r="S40" s="107"/>
    </row>
    <row r="41" spans="2:19" ht="18.75" customHeight="1">
      <c r="C41" s="1"/>
      <c r="D41" s="1"/>
      <c r="E41" s="1"/>
      <c r="F41" s="1"/>
      <c r="G41" s="1"/>
      <c r="H41" s="1"/>
      <c r="I41" s="21"/>
      <c r="J41" s="406"/>
      <c r="K41" s="404"/>
      <c r="L41" s="107"/>
      <c r="M41" s="425"/>
      <c r="N41" s="107"/>
      <c r="O41" s="107"/>
      <c r="P41" s="107"/>
      <c r="Q41" s="107"/>
      <c r="R41" s="107"/>
      <c r="S41" s="107"/>
    </row>
    <row r="42" spans="2:19" ht="15" customHeight="1">
      <c r="B42" s="395" t="s">
        <v>28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426"/>
      <c r="N42" s="396"/>
      <c r="O42" s="1"/>
      <c r="P42" s="1"/>
      <c r="Q42" s="1"/>
      <c r="R42" s="1"/>
      <c r="S42" s="1"/>
    </row>
    <row r="43" spans="2:19" ht="15" customHeight="1">
      <c r="B43" s="395" t="s">
        <v>29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92"/>
      <c r="N43" s="396"/>
      <c r="O43" s="1"/>
      <c r="P43" s="1"/>
      <c r="Q43" s="1"/>
      <c r="R43" s="1"/>
      <c r="S43" s="1"/>
    </row>
    <row r="44" spans="2:19" ht="15" customHeight="1">
      <c r="B44" s="395" t="s">
        <v>30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92"/>
      <c r="N44" s="1"/>
      <c r="O44" s="1"/>
      <c r="P44" s="1"/>
      <c r="Q44" s="1"/>
      <c r="R44" s="1"/>
      <c r="S44" s="1"/>
    </row>
    <row r="45" spans="2:19" ht="15" customHeight="1">
      <c r="B45" s="395" t="s">
        <v>31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423"/>
      <c r="N45" s="1"/>
      <c r="O45" s="1"/>
      <c r="P45" s="1"/>
      <c r="Q45" s="1"/>
      <c r="R45" s="1"/>
      <c r="S45" s="1"/>
    </row>
    <row r="46" spans="2:19">
      <c r="B46" s="397" t="s">
        <v>32</v>
      </c>
      <c r="K46" s="26"/>
      <c r="M46" s="3"/>
    </row>
    <row r="47" spans="2:19" ht="15" customHeight="1">
      <c r="I47" s="18"/>
      <c r="M47" s="18"/>
    </row>
    <row r="48" spans="2:19" ht="15" customHeight="1">
      <c r="B48" s="497" t="s">
        <v>33</v>
      </c>
      <c r="C48" s="497"/>
      <c r="D48" s="497"/>
      <c r="E48" s="497"/>
      <c r="F48" s="497"/>
      <c r="G48" s="497"/>
      <c r="H48" s="497"/>
      <c r="I48" s="18"/>
      <c r="J48" s="3"/>
      <c r="M48" s="18"/>
    </row>
    <row r="49" spans="2:9" ht="39" customHeight="1">
      <c r="B49" s="507" t="s">
        <v>34</v>
      </c>
      <c r="C49" s="507"/>
      <c r="D49" s="507"/>
      <c r="E49" s="507"/>
      <c r="F49" s="235" t="s">
        <v>35</v>
      </c>
      <c r="G49" s="235" t="s">
        <v>36</v>
      </c>
      <c r="H49" s="235" t="s">
        <v>37</v>
      </c>
      <c r="I49" s="18"/>
    </row>
    <row r="50" spans="2:9">
      <c r="B50" s="508" t="s">
        <v>38</v>
      </c>
      <c r="C50" s="509"/>
      <c r="D50" s="509"/>
      <c r="E50" s="510"/>
      <c r="F50" s="365">
        <f>F40</f>
        <v>204817272.01000005</v>
      </c>
      <c r="G50" s="366">
        <f>G40</f>
        <v>350293430.04360425</v>
      </c>
      <c r="H50" s="398">
        <f>F50/G50</f>
        <v>0.58470200821209961</v>
      </c>
    </row>
    <row r="51" spans="2:9">
      <c r="B51" s="508" t="s">
        <v>39</v>
      </c>
      <c r="C51" s="509"/>
      <c r="D51" s="509"/>
      <c r="E51" s="510"/>
      <c r="F51" s="365">
        <f>C40</f>
        <v>228829472.75</v>
      </c>
      <c r="G51" s="366">
        <f>D40</f>
        <v>340704936.37978148</v>
      </c>
      <c r="H51" s="398">
        <f>F51/G51</f>
        <v>0.6716353310916674</v>
      </c>
    </row>
    <row r="52" spans="2:9">
      <c r="B52" s="498" t="s">
        <v>40</v>
      </c>
      <c r="C52" s="499"/>
      <c r="D52" s="499"/>
      <c r="E52" s="499"/>
      <c r="F52" s="499"/>
      <c r="G52" s="505"/>
      <c r="H52" s="236">
        <f>H50/H51-1</f>
        <v>-0.12943530343805398</v>
      </c>
    </row>
    <row r="53" spans="2:9"/>
  </sheetData>
  <mergeCells count="22">
    <mergeCell ref="B16:D16"/>
    <mergeCell ref="B11:D11"/>
    <mergeCell ref="B12:D12"/>
    <mergeCell ref="B13:D13"/>
    <mergeCell ref="B14:D14"/>
    <mergeCell ref="B15:D15"/>
    <mergeCell ref="B8:F8"/>
    <mergeCell ref="B52:G52"/>
    <mergeCell ref="B17:D17"/>
    <mergeCell ref="B48:H48"/>
    <mergeCell ref="B49:E49"/>
    <mergeCell ref="B50:E50"/>
    <mergeCell ref="B51:E51"/>
    <mergeCell ref="B26:G26"/>
    <mergeCell ref="B23:D23"/>
    <mergeCell ref="B22:D22"/>
    <mergeCell ref="B18:D18"/>
    <mergeCell ref="B19:D19"/>
    <mergeCell ref="B20:D20"/>
    <mergeCell ref="B21:D21"/>
    <mergeCell ref="B9:D9"/>
    <mergeCell ref="B10:D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AB94-AA01-43CA-80B5-B94BA051B95A}">
  <sheetPr>
    <tabColor theme="3"/>
  </sheetPr>
  <dimension ref="A1:U69"/>
  <sheetViews>
    <sheetView showGridLines="0" topLeftCell="A47" zoomScale="90" zoomScaleNormal="90" workbookViewId="0">
      <selection activeCell="P31" sqref="P31"/>
    </sheetView>
  </sheetViews>
  <sheetFormatPr defaultColWidth="0" defaultRowHeight="0" customHeight="1" zeroHeight="1"/>
  <cols>
    <col min="1" max="1" width="3.7109375" customWidth="1"/>
    <col min="2" max="2" width="23.7109375" customWidth="1"/>
    <col min="3" max="3" width="14.140625" customWidth="1"/>
    <col min="4" max="4" width="22.7109375" customWidth="1"/>
    <col min="5" max="5" width="16.140625" customWidth="1"/>
    <col min="6" max="6" width="17" bestFit="1" customWidth="1"/>
    <col min="7" max="7" width="4.7109375" customWidth="1"/>
    <col min="8" max="8" width="20" bestFit="1" customWidth="1"/>
    <col min="9" max="9" width="24.42578125" customWidth="1"/>
    <col min="10" max="10" width="5.42578125" customWidth="1"/>
    <col min="11" max="11" width="24.28515625" bestFit="1" customWidth="1"/>
    <col min="12" max="14" width="19.7109375" customWidth="1"/>
    <col min="15" max="15" width="7.28515625" customWidth="1"/>
    <col min="16" max="16" width="14.140625" customWidth="1"/>
    <col min="17" max="17" width="2.5703125" customWidth="1"/>
    <col min="18" max="16384" width="9.140625" hidden="1"/>
  </cols>
  <sheetData>
    <row r="1" spans="1:19" s="21" customFormat="1" ht="3" customHeight="1"/>
    <row r="2" spans="1:19" s="21" customFormat="1" ht="15"/>
    <row r="3" spans="1:19" s="83" customFormat="1" ht="15" customHeight="1"/>
    <row r="4" spans="1:19" s="83" customFormat="1" ht="15"/>
    <row r="5" spans="1:19" s="83" customFormat="1" ht="20.100000000000001" customHeight="1"/>
    <row r="6" spans="1:19" ht="15"/>
    <row r="7" spans="1:19" ht="18.75">
      <c r="C7" s="102" t="s">
        <v>41</v>
      </c>
      <c r="G7" s="102"/>
    </row>
    <row r="8" spans="1:19" ht="1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9" ht="15.75">
      <c r="B9" s="504" t="s">
        <v>42</v>
      </c>
      <c r="C9" s="504"/>
      <c r="D9" s="504"/>
      <c r="E9" s="504"/>
      <c r="F9" s="504"/>
      <c r="G9" s="21"/>
      <c r="H9" s="513" t="s">
        <v>43</v>
      </c>
      <c r="I9" s="513"/>
      <c r="J9" s="513"/>
      <c r="K9" s="513"/>
      <c r="L9" s="513"/>
      <c r="M9" s="513"/>
      <c r="N9" s="513"/>
    </row>
    <row r="10" spans="1:19" ht="15.75">
      <c r="B10" s="208" t="s">
        <v>44</v>
      </c>
      <c r="C10" s="208" t="s">
        <v>45</v>
      </c>
      <c r="D10" s="208" t="s">
        <v>46</v>
      </c>
      <c r="E10" s="208" t="s">
        <v>45</v>
      </c>
      <c r="F10" s="208" t="s">
        <v>47</v>
      </c>
      <c r="G10" s="21"/>
      <c r="H10" s="550"/>
      <c r="I10" s="550"/>
      <c r="J10" s="550"/>
      <c r="K10" s="203" t="s">
        <v>48</v>
      </c>
      <c r="L10" s="203" t="s">
        <v>49</v>
      </c>
      <c r="M10" s="203" t="s">
        <v>50</v>
      </c>
      <c r="N10" s="203" t="s">
        <v>51</v>
      </c>
    </row>
    <row r="11" spans="1:19" ht="15.75">
      <c r="B11" s="211">
        <v>45292</v>
      </c>
      <c r="C11" s="204">
        <v>4075527</v>
      </c>
      <c r="D11" s="211">
        <v>45658</v>
      </c>
      <c r="E11" s="204">
        <v>3024528</v>
      </c>
      <c r="F11" s="213">
        <f>IF(C11-E11&lt;=0,"",C11-E11)</f>
        <v>1050999</v>
      </c>
      <c r="G11" s="21"/>
      <c r="H11" s="551" t="s">
        <v>52</v>
      </c>
      <c r="I11" s="551"/>
      <c r="J11" s="551"/>
      <c r="K11" s="204">
        <f>SUM(F11:F22)</f>
        <v>12376368</v>
      </c>
      <c r="L11" s="204">
        <f>SUM(F26:F37)</f>
        <v>1194784</v>
      </c>
      <c r="M11" s="204">
        <f>SUM(F41:F52)</f>
        <v>1637460</v>
      </c>
      <c r="N11" s="204">
        <f>SUM(F56:F67)</f>
        <v>68852</v>
      </c>
    </row>
    <row r="12" spans="1:19" ht="15.75">
      <c r="B12" s="211">
        <v>45323</v>
      </c>
      <c r="C12" s="204">
        <v>3222329</v>
      </c>
      <c r="D12" s="211">
        <v>45689</v>
      </c>
      <c r="E12" s="204">
        <v>2384691</v>
      </c>
      <c r="F12" s="213">
        <f t="shared" ref="F12:F22" si="0">IF(C12-E12&lt;=0,"",C12-E12)</f>
        <v>837638</v>
      </c>
      <c r="G12" s="21"/>
      <c r="H12" s="551" t="s">
        <v>53</v>
      </c>
      <c r="I12" s="551"/>
      <c r="J12" s="551"/>
      <c r="K12" s="205">
        <v>0.2</v>
      </c>
      <c r="L12" s="205">
        <v>0.2</v>
      </c>
      <c r="M12" s="205">
        <v>0.2</v>
      </c>
      <c r="N12" s="205">
        <v>0.2</v>
      </c>
    </row>
    <row r="13" spans="1:19" ht="15.75">
      <c r="B13" s="211">
        <v>45352</v>
      </c>
      <c r="C13" s="204">
        <v>3615529</v>
      </c>
      <c r="D13" s="211">
        <v>45718</v>
      </c>
      <c r="E13" s="204">
        <v>2748347</v>
      </c>
      <c r="F13" s="213">
        <f t="shared" si="0"/>
        <v>867182</v>
      </c>
      <c r="G13" s="21"/>
      <c r="H13" s="551" t="s">
        <v>54</v>
      </c>
      <c r="I13" s="551"/>
      <c r="J13" s="551"/>
      <c r="K13" s="204">
        <f>K11*K12</f>
        <v>2475273.6</v>
      </c>
      <c r="L13" s="204">
        <f t="shared" ref="L13:N13" si="1">L11*L12</f>
        <v>238956.80000000002</v>
      </c>
      <c r="M13" s="204">
        <f t="shared" si="1"/>
        <v>327492</v>
      </c>
      <c r="N13" s="204">
        <f t="shared" si="1"/>
        <v>13770.400000000001</v>
      </c>
    </row>
    <row r="14" spans="1:19" ht="15.75">
      <c r="B14" s="211">
        <v>45383</v>
      </c>
      <c r="C14" s="204">
        <v>4454221</v>
      </c>
      <c r="D14" s="211">
        <v>45749</v>
      </c>
      <c r="E14" s="204">
        <v>3393074</v>
      </c>
      <c r="F14" s="213">
        <f t="shared" si="0"/>
        <v>1061147</v>
      </c>
      <c r="G14" s="21"/>
      <c r="H14" s="551" t="s">
        <v>55</v>
      </c>
      <c r="I14" s="551"/>
      <c r="J14" s="551"/>
      <c r="K14" s="206">
        <v>4.13</v>
      </c>
      <c r="L14" s="206">
        <v>2.0699999999999998</v>
      </c>
      <c r="M14" s="206">
        <v>8.5299999999999994</v>
      </c>
      <c r="N14" s="206">
        <v>8.5299999999999994</v>
      </c>
      <c r="O14" s="21"/>
      <c r="P14" s="21"/>
      <c r="Q14" s="21"/>
      <c r="R14" s="21"/>
      <c r="S14" s="21"/>
    </row>
    <row r="15" spans="1:19" ht="15.75">
      <c r="B15" s="211">
        <v>45413</v>
      </c>
      <c r="C15" s="204">
        <v>4573141</v>
      </c>
      <c r="D15" s="211">
        <v>45779</v>
      </c>
      <c r="E15" s="204">
        <v>3440803</v>
      </c>
      <c r="F15" s="213">
        <f t="shared" si="0"/>
        <v>1132338</v>
      </c>
      <c r="G15" s="21"/>
      <c r="H15" s="551" t="s">
        <v>56</v>
      </c>
      <c r="I15" s="551"/>
      <c r="J15" s="551"/>
      <c r="K15" s="207">
        <f>K13*K14</f>
        <v>10222879.968</v>
      </c>
      <c r="L15" s="207">
        <f>L13*L14</f>
        <v>494640.576</v>
      </c>
      <c r="M15" s="207">
        <f>M13*M14</f>
        <v>2793506.76</v>
      </c>
      <c r="N15" s="207">
        <f>N13*N14</f>
        <v>117461.512</v>
      </c>
      <c r="O15" s="21"/>
      <c r="P15" s="21"/>
      <c r="Q15" s="21"/>
      <c r="R15" s="21"/>
    </row>
    <row r="16" spans="1:19" ht="15">
      <c r="B16" s="211">
        <v>45444</v>
      </c>
      <c r="C16" s="204">
        <v>5255098</v>
      </c>
      <c r="D16" s="211">
        <v>45810</v>
      </c>
      <c r="E16" s="204">
        <v>3938516</v>
      </c>
      <c r="F16" s="213">
        <f t="shared" si="0"/>
        <v>1316582</v>
      </c>
      <c r="G16" s="21"/>
      <c r="H16" s="497" t="s">
        <v>57</v>
      </c>
      <c r="I16" s="497"/>
      <c r="J16" s="497"/>
      <c r="K16" s="209">
        <f>SUM(K15:N15)</f>
        <v>13628488.816</v>
      </c>
      <c r="L16" s="21"/>
      <c r="M16" s="21"/>
      <c r="N16" s="21"/>
      <c r="O16" s="21"/>
      <c r="P16" s="21"/>
      <c r="Q16" s="21"/>
      <c r="R16" s="21"/>
    </row>
    <row r="17" spans="1:21" ht="15">
      <c r="B17" s="211">
        <v>45474</v>
      </c>
      <c r="C17" s="204">
        <v>5088848</v>
      </c>
      <c r="D17" s="211">
        <v>45840</v>
      </c>
      <c r="E17" s="204">
        <v>3859334</v>
      </c>
      <c r="F17" s="213">
        <f>IF(C17-E17&lt;=0,"",C17-E17)</f>
        <v>1229514</v>
      </c>
      <c r="G17" s="21"/>
      <c r="H17" s="356" t="s">
        <v>58</v>
      </c>
      <c r="I17" s="21"/>
      <c r="J17" s="21"/>
      <c r="K17" s="156"/>
      <c r="L17" s="156"/>
      <c r="M17" s="156"/>
      <c r="N17" s="156"/>
      <c r="O17" s="21"/>
      <c r="P17" s="21"/>
      <c r="Q17" s="21"/>
      <c r="R17" s="21"/>
    </row>
    <row r="18" spans="1:21" ht="15">
      <c r="B18" s="211">
        <v>45505</v>
      </c>
      <c r="C18" s="204">
        <v>3742303</v>
      </c>
      <c r="D18" s="211">
        <v>45871</v>
      </c>
      <c r="E18" s="204">
        <v>2825933</v>
      </c>
      <c r="F18" s="213">
        <f t="shared" si="0"/>
        <v>916370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21" ht="15">
      <c r="B19" s="211">
        <v>45536</v>
      </c>
      <c r="C19" s="204">
        <v>5238883</v>
      </c>
      <c r="D19" s="211">
        <v>45902</v>
      </c>
      <c r="E19" s="204">
        <v>4005267</v>
      </c>
      <c r="F19" s="213">
        <f t="shared" si="0"/>
        <v>1233616</v>
      </c>
      <c r="G19" s="21"/>
      <c r="H19" s="520"/>
      <c r="I19" s="520"/>
      <c r="J19" s="520"/>
      <c r="K19" s="147"/>
      <c r="L19" s="148"/>
      <c r="M19" s="21"/>
      <c r="N19" s="21"/>
      <c r="O19" s="21"/>
      <c r="P19" s="21"/>
      <c r="Q19" s="21"/>
      <c r="R19" s="21"/>
    </row>
    <row r="20" spans="1:21" ht="15" customHeight="1">
      <c r="B20" s="211">
        <v>45566</v>
      </c>
      <c r="C20" s="204">
        <v>5105671</v>
      </c>
      <c r="D20" s="211">
        <v>45932</v>
      </c>
      <c r="E20" s="204">
        <v>3895410</v>
      </c>
      <c r="F20" s="213">
        <f t="shared" si="0"/>
        <v>1210261</v>
      </c>
      <c r="G20" s="21"/>
      <c r="H20" s="514" t="s">
        <v>59</v>
      </c>
      <c r="I20" s="515"/>
      <c r="J20" s="516"/>
      <c r="K20" s="196" t="s">
        <v>60</v>
      </c>
      <c r="L20" s="197">
        <f>K16</f>
        <v>13628488.816</v>
      </c>
      <c r="M20" s="21"/>
      <c r="N20" s="21"/>
      <c r="O20" s="21"/>
      <c r="P20" s="21"/>
      <c r="Q20" s="21"/>
      <c r="R20" s="21"/>
      <c r="S20" s="21"/>
      <c r="T20" s="21"/>
    </row>
    <row r="21" spans="1:21" ht="15">
      <c r="B21" s="211">
        <v>45597</v>
      </c>
      <c r="C21" s="204">
        <v>2493816</v>
      </c>
      <c r="D21" s="211">
        <v>45963</v>
      </c>
      <c r="E21" s="204">
        <v>1860288</v>
      </c>
      <c r="F21" s="213">
        <f t="shared" si="0"/>
        <v>633528</v>
      </c>
      <c r="G21" s="21"/>
      <c r="H21" s="517" t="s">
        <v>61</v>
      </c>
      <c r="I21" s="518"/>
      <c r="J21" s="519"/>
      <c r="K21" s="199" t="s">
        <v>62</v>
      </c>
      <c r="L21" s="200">
        <f>Volume_2025!P130</f>
        <v>321293750.14999998</v>
      </c>
      <c r="M21" s="21"/>
      <c r="N21" s="21"/>
      <c r="O21" s="21"/>
      <c r="P21" s="21"/>
      <c r="Q21" s="21"/>
      <c r="R21" s="21"/>
      <c r="S21" s="21"/>
      <c r="T21" s="21"/>
      <c r="U21" s="21"/>
    </row>
    <row r="22" spans="1:21" ht="15" customHeight="1">
      <c r="B22" s="211">
        <v>45627</v>
      </c>
      <c r="C22" s="204">
        <v>3577009</v>
      </c>
      <c r="D22" s="211">
        <v>45993</v>
      </c>
      <c r="E22" s="204">
        <v>2689816</v>
      </c>
      <c r="F22" s="213">
        <f t="shared" si="0"/>
        <v>887193</v>
      </c>
      <c r="G22" s="21"/>
      <c r="H22" s="521" t="s">
        <v>63</v>
      </c>
      <c r="I22" s="522"/>
      <c r="J22" s="523"/>
      <c r="K22" s="201" t="s">
        <v>64</v>
      </c>
      <c r="L22" s="202">
        <f>L20/L21</f>
        <v>4.2417534762619474E-2</v>
      </c>
      <c r="M22" s="21"/>
      <c r="N22" s="21"/>
      <c r="O22" s="21"/>
    </row>
    <row r="23" spans="1:21" ht="1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21" ht="15.75">
      <c r="A24" s="21"/>
      <c r="B24" s="504" t="s">
        <v>65</v>
      </c>
      <c r="C24" s="504"/>
      <c r="D24" s="504"/>
      <c r="E24" s="504"/>
      <c r="F24" s="504"/>
      <c r="G24" s="21"/>
      <c r="H24" s="21"/>
      <c r="M24" s="21"/>
      <c r="N24" s="21"/>
    </row>
    <row r="25" spans="1:21" ht="15">
      <c r="A25" s="21"/>
      <c r="B25" s="208" t="s">
        <v>44</v>
      </c>
      <c r="C25" s="208" t="s">
        <v>45</v>
      </c>
      <c r="D25" s="208" t="s">
        <v>46</v>
      </c>
      <c r="E25" s="208" t="s">
        <v>45</v>
      </c>
      <c r="F25" s="208" t="s">
        <v>47</v>
      </c>
      <c r="G25" s="21"/>
      <c r="H25" s="21"/>
    </row>
    <row r="26" spans="1:21" ht="15.75" customHeight="1">
      <c r="A26" s="21"/>
      <c r="B26" s="199">
        <v>45292</v>
      </c>
      <c r="C26" s="210">
        <v>371920</v>
      </c>
      <c r="D26" s="211">
        <v>45658</v>
      </c>
      <c r="E26" s="210">
        <v>261537</v>
      </c>
      <c r="F26" s="212">
        <f t="shared" ref="F26:F37" si="2">IF(C26-E26&lt;=0,"",C26-E26)</f>
        <v>110383</v>
      </c>
      <c r="G26" s="21"/>
      <c r="H26" s="21"/>
    </row>
    <row r="27" spans="1:21" ht="15.75" customHeight="1">
      <c r="A27" s="21"/>
      <c r="B27" s="199">
        <v>45323</v>
      </c>
      <c r="C27" s="210">
        <v>292198</v>
      </c>
      <c r="D27" s="211">
        <v>45689</v>
      </c>
      <c r="E27" s="210">
        <v>205149</v>
      </c>
      <c r="F27" s="212">
        <f t="shared" si="2"/>
        <v>87049</v>
      </c>
      <c r="G27" s="21"/>
      <c r="H27" s="21"/>
    </row>
    <row r="28" spans="1:21" ht="15.75" customHeight="1">
      <c r="A28" s="21"/>
      <c r="B28" s="199">
        <v>45352</v>
      </c>
      <c r="C28" s="210">
        <v>300863</v>
      </c>
      <c r="D28" s="211">
        <v>45718</v>
      </c>
      <c r="E28" s="210">
        <v>213777</v>
      </c>
      <c r="F28" s="212">
        <f t="shared" si="2"/>
        <v>87086</v>
      </c>
      <c r="G28" s="21"/>
      <c r="H28" s="21"/>
    </row>
    <row r="29" spans="1:21" ht="15.75" customHeight="1">
      <c r="A29" s="21"/>
      <c r="B29" s="199">
        <v>45383</v>
      </c>
      <c r="C29" s="210">
        <v>359893</v>
      </c>
      <c r="D29" s="211">
        <v>45749</v>
      </c>
      <c r="E29" s="210">
        <v>259379</v>
      </c>
      <c r="F29" s="212">
        <f t="shared" si="2"/>
        <v>100514</v>
      </c>
      <c r="G29" s="21"/>
      <c r="H29" s="21"/>
    </row>
    <row r="30" spans="1:21" ht="15.75" customHeight="1">
      <c r="A30" s="21"/>
      <c r="B30" s="199">
        <v>45413</v>
      </c>
      <c r="C30" s="210">
        <v>382431</v>
      </c>
      <c r="D30" s="211">
        <v>45779</v>
      </c>
      <c r="E30" s="210">
        <v>274779</v>
      </c>
      <c r="F30" s="212">
        <f t="shared" si="2"/>
        <v>107652</v>
      </c>
      <c r="G30" s="21"/>
      <c r="H30" s="21"/>
    </row>
    <row r="31" spans="1:21" ht="15.75" customHeight="1">
      <c r="A31" s="21"/>
      <c r="B31" s="199">
        <v>45444</v>
      </c>
      <c r="C31" s="210">
        <v>414659</v>
      </c>
      <c r="D31" s="211">
        <v>45810</v>
      </c>
      <c r="E31" s="210">
        <v>292466</v>
      </c>
      <c r="F31" s="212">
        <f t="shared" si="2"/>
        <v>122193</v>
      </c>
      <c r="G31" s="21"/>
      <c r="H31" s="21"/>
    </row>
    <row r="32" spans="1:21" ht="15.75" customHeight="1">
      <c r="A32" s="21"/>
      <c r="B32" s="199">
        <v>45474</v>
      </c>
      <c r="C32" s="210">
        <v>399421</v>
      </c>
      <c r="D32" s="211">
        <v>45840</v>
      </c>
      <c r="E32" s="210">
        <v>284165</v>
      </c>
      <c r="F32" s="212">
        <f t="shared" si="2"/>
        <v>115256</v>
      </c>
      <c r="G32" s="21"/>
      <c r="H32" s="21"/>
    </row>
    <row r="33" spans="1:8" ht="15.75" customHeight="1">
      <c r="A33" s="21"/>
      <c r="B33" s="199">
        <v>45505</v>
      </c>
      <c r="C33" s="210">
        <v>317354</v>
      </c>
      <c r="D33" s="211">
        <v>45871</v>
      </c>
      <c r="E33" s="210">
        <v>229328</v>
      </c>
      <c r="F33" s="212">
        <f t="shared" si="2"/>
        <v>88026</v>
      </c>
      <c r="G33" s="21"/>
      <c r="H33" s="21"/>
    </row>
    <row r="34" spans="1:8" ht="15.75" customHeight="1">
      <c r="A34" s="21"/>
      <c r="B34" s="199">
        <v>45536</v>
      </c>
      <c r="C34" s="210">
        <v>397282</v>
      </c>
      <c r="D34" s="211">
        <v>45902</v>
      </c>
      <c r="E34" s="210">
        <v>286364</v>
      </c>
      <c r="F34" s="212">
        <f t="shared" si="2"/>
        <v>110918</v>
      </c>
      <c r="G34" s="21"/>
      <c r="H34" s="21"/>
    </row>
    <row r="35" spans="1:8" ht="15.75" customHeight="1">
      <c r="B35" s="199">
        <v>45566</v>
      </c>
      <c r="C35" s="210">
        <v>420151</v>
      </c>
      <c r="D35" s="211">
        <v>45932</v>
      </c>
      <c r="E35" s="210">
        <v>303734</v>
      </c>
      <c r="F35" s="212">
        <f t="shared" si="2"/>
        <v>116417</v>
      </c>
      <c r="G35" s="21"/>
      <c r="H35" s="21"/>
    </row>
    <row r="36" spans="1:8" ht="15.75" customHeight="1">
      <c r="B36" s="199">
        <v>45597</v>
      </c>
      <c r="C36" s="210">
        <v>212574</v>
      </c>
      <c r="D36" s="211">
        <v>45963</v>
      </c>
      <c r="E36" s="210">
        <v>150933</v>
      </c>
      <c r="F36" s="212">
        <f t="shared" si="2"/>
        <v>61641</v>
      </c>
      <c r="G36" s="21"/>
      <c r="H36" s="21"/>
    </row>
    <row r="37" spans="1:8" ht="15.75" customHeight="1">
      <c r="B37" s="199">
        <v>45627</v>
      </c>
      <c r="C37" s="210">
        <v>300665</v>
      </c>
      <c r="D37" s="211">
        <v>45993</v>
      </c>
      <c r="E37" s="210">
        <v>213016</v>
      </c>
      <c r="F37" s="212">
        <f t="shared" si="2"/>
        <v>87649</v>
      </c>
      <c r="G37" s="21"/>
      <c r="H37" s="21"/>
    </row>
    <row r="38" spans="1:8" ht="16.5" customHeight="1">
      <c r="D38" s="21"/>
      <c r="E38" s="21"/>
      <c r="F38" s="21"/>
      <c r="G38" s="21"/>
      <c r="H38" s="21"/>
    </row>
    <row r="39" spans="1:8" ht="16.5" customHeight="1">
      <c r="B39" s="504" t="s">
        <v>66</v>
      </c>
      <c r="C39" s="504"/>
      <c r="D39" s="504"/>
      <c r="E39" s="504"/>
      <c r="F39" s="504"/>
      <c r="G39" s="21"/>
    </row>
    <row r="40" spans="1:8" ht="16.5" customHeight="1">
      <c r="B40" s="208" t="s">
        <v>44</v>
      </c>
      <c r="C40" s="208" t="s">
        <v>45</v>
      </c>
      <c r="D40" s="208" t="s">
        <v>46</v>
      </c>
      <c r="E40" s="208" t="s">
        <v>45</v>
      </c>
      <c r="F40" s="208" t="s">
        <v>47</v>
      </c>
    </row>
    <row r="41" spans="1:8" ht="16.5" customHeight="1">
      <c r="B41" s="199">
        <f>+B26</f>
        <v>45292</v>
      </c>
      <c r="C41" s="210">
        <v>426342</v>
      </c>
      <c r="D41" s="211">
        <f>+D26</f>
        <v>45658</v>
      </c>
      <c r="E41" s="210">
        <v>286010</v>
      </c>
      <c r="F41" s="212">
        <f t="shared" ref="F41:F52" si="3">IF(C41-E41&lt;=0,"",C41-E41)</f>
        <v>140332</v>
      </c>
      <c r="G41" s="23"/>
    </row>
    <row r="42" spans="1:8" ht="16.5" customHeight="1">
      <c r="B42" s="199">
        <f t="shared" ref="B42:B52" si="4">+B27</f>
        <v>45323</v>
      </c>
      <c r="C42" s="210">
        <v>391150</v>
      </c>
      <c r="D42" s="211">
        <f t="shared" ref="D42:D52" si="5">+D27</f>
        <v>45689</v>
      </c>
      <c r="E42" s="210">
        <v>273760</v>
      </c>
      <c r="F42" s="212">
        <f t="shared" si="3"/>
        <v>117390</v>
      </c>
    </row>
    <row r="43" spans="1:8" ht="16.5" customHeight="1">
      <c r="B43" s="199">
        <f t="shared" si="4"/>
        <v>45352</v>
      </c>
      <c r="C43" s="210">
        <v>454243</v>
      </c>
      <c r="D43" s="211">
        <f t="shared" si="5"/>
        <v>45718</v>
      </c>
      <c r="E43" s="210">
        <v>334032</v>
      </c>
      <c r="F43" s="212">
        <f t="shared" si="3"/>
        <v>120211</v>
      </c>
    </row>
    <row r="44" spans="1:8" ht="16.5" customHeight="1">
      <c r="B44" s="199">
        <f t="shared" si="4"/>
        <v>45383</v>
      </c>
      <c r="C44" s="210">
        <v>469967</v>
      </c>
      <c r="D44" s="211">
        <f t="shared" si="5"/>
        <v>45749</v>
      </c>
      <c r="E44" s="210">
        <v>334694</v>
      </c>
      <c r="F44" s="212">
        <f t="shared" si="3"/>
        <v>135273</v>
      </c>
    </row>
    <row r="45" spans="1:8" ht="16.5" customHeight="1">
      <c r="B45" s="199">
        <f t="shared" si="4"/>
        <v>45413</v>
      </c>
      <c r="C45" s="210">
        <v>484200</v>
      </c>
      <c r="D45" s="211">
        <f t="shared" si="5"/>
        <v>45779</v>
      </c>
      <c r="E45" s="210">
        <v>342671</v>
      </c>
      <c r="F45" s="212">
        <f t="shared" si="3"/>
        <v>141529</v>
      </c>
    </row>
    <row r="46" spans="1:8" ht="16.5" customHeight="1">
      <c r="B46" s="199">
        <f t="shared" si="4"/>
        <v>45444</v>
      </c>
      <c r="C46" s="210">
        <v>611050</v>
      </c>
      <c r="D46" s="211">
        <f t="shared" si="5"/>
        <v>45810</v>
      </c>
      <c r="E46" s="210">
        <v>436413</v>
      </c>
      <c r="F46" s="212">
        <f t="shared" si="3"/>
        <v>174637</v>
      </c>
    </row>
    <row r="47" spans="1:8" ht="16.5" customHeight="1">
      <c r="B47" s="199">
        <f t="shared" si="4"/>
        <v>45474</v>
      </c>
      <c r="C47" s="210">
        <v>547519</v>
      </c>
      <c r="D47" s="211">
        <f t="shared" si="5"/>
        <v>45840</v>
      </c>
      <c r="E47" s="210">
        <v>384840</v>
      </c>
      <c r="F47" s="212">
        <f t="shared" si="3"/>
        <v>162679</v>
      </c>
    </row>
    <row r="48" spans="1:8" ht="16.5" customHeight="1">
      <c r="B48" s="199">
        <f t="shared" si="4"/>
        <v>45505</v>
      </c>
      <c r="C48" s="210">
        <v>439990</v>
      </c>
      <c r="D48" s="211">
        <f t="shared" si="5"/>
        <v>45871</v>
      </c>
      <c r="E48" s="210">
        <v>309976</v>
      </c>
      <c r="F48" s="212">
        <f t="shared" si="3"/>
        <v>130014</v>
      </c>
    </row>
    <row r="49" spans="2:6" ht="16.5" customHeight="1">
      <c r="B49" s="199">
        <f t="shared" si="4"/>
        <v>45536</v>
      </c>
      <c r="C49" s="210">
        <v>571602</v>
      </c>
      <c r="D49" s="211">
        <f t="shared" si="5"/>
        <v>45902</v>
      </c>
      <c r="E49" s="210">
        <v>410573</v>
      </c>
      <c r="F49" s="212">
        <f t="shared" si="3"/>
        <v>161029</v>
      </c>
    </row>
    <row r="50" spans="2:6" ht="16.5" customHeight="1">
      <c r="B50" s="199">
        <f t="shared" si="4"/>
        <v>45566</v>
      </c>
      <c r="C50" s="210">
        <v>527662</v>
      </c>
      <c r="D50" s="211">
        <f t="shared" si="5"/>
        <v>45932</v>
      </c>
      <c r="E50" s="210">
        <v>372128</v>
      </c>
      <c r="F50" s="212">
        <f t="shared" si="3"/>
        <v>155534</v>
      </c>
    </row>
    <row r="51" spans="2:6" ht="16.5" customHeight="1">
      <c r="B51" s="199">
        <f t="shared" si="4"/>
        <v>45597</v>
      </c>
      <c r="C51" s="210">
        <v>305450</v>
      </c>
      <c r="D51" s="211">
        <f t="shared" si="5"/>
        <v>45963</v>
      </c>
      <c r="E51" s="210">
        <v>215351</v>
      </c>
      <c r="F51" s="212">
        <f>IF(C51-E51&lt;=0,"",C51-E51)</f>
        <v>90099</v>
      </c>
    </row>
    <row r="52" spans="2:6" ht="16.5" customHeight="1">
      <c r="B52" s="199">
        <f t="shared" si="4"/>
        <v>45627</v>
      </c>
      <c r="C52" s="210">
        <v>345509</v>
      </c>
      <c r="D52" s="211">
        <f t="shared" si="5"/>
        <v>45993</v>
      </c>
      <c r="E52" s="210">
        <v>236776</v>
      </c>
      <c r="F52" s="212">
        <f t="shared" si="3"/>
        <v>108733</v>
      </c>
    </row>
    <row r="53" spans="2:6" ht="16.5" customHeight="1"/>
    <row r="54" spans="2:6" ht="16.5" customHeight="1">
      <c r="B54" s="504" t="s">
        <v>67</v>
      </c>
      <c r="C54" s="504"/>
      <c r="D54" s="504"/>
      <c r="E54" s="504"/>
      <c r="F54" s="504"/>
    </row>
    <row r="55" spans="2:6" ht="16.5" customHeight="1">
      <c r="B55" s="208" t="s">
        <v>44</v>
      </c>
      <c r="C55" s="208" t="s">
        <v>45</v>
      </c>
      <c r="D55" s="208" t="s">
        <v>46</v>
      </c>
      <c r="E55" s="208" t="s">
        <v>45</v>
      </c>
      <c r="F55" s="208" t="s">
        <v>47</v>
      </c>
    </row>
    <row r="56" spans="2:6" ht="16.5" customHeight="1">
      <c r="B56" s="199">
        <f>+B41</f>
        <v>45292</v>
      </c>
      <c r="C56" s="210">
        <v>13348</v>
      </c>
      <c r="D56" s="211">
        <f>+D41</f>
        <v>45658</v>
      </c>
      <c r="E56" s="210">
        <v>8418</v>
      </c>
      <c r="F56" s="212">
        <f t="shared" ref="F56:F67" si="6">IF(C56-E56&lt;=0,"",C56-E56)</f>
        <v>4930</v>
      </c>
    </row>
    <row r="57" spans="2:6" ht="16.5" customHeight="1">
      <c r="B57" s="199">
        <f t="shared" ref="B57:B67" si="7">+B42</f>
        <v>45323</v>
      </c>
      <c r="C57" s="210">
        <v>14432</v>
      </c>
      <c r="D57" s="211">
        <f t="shared" ref="D57:D67" si="8">+D42</f>
        <v>45689</v>
      </c>
      <c r="E57" s="210">
        <v>8744</v>
      </c>
      <c r="F57" s="212">
        <f t="shared" si="6"/>
        <v>5688</v>
      </c>
    </row>
    <row r="58" spans="2:6" ht="16.5" customHeight="1">
      <c r="B58" s="199">
        <f t="shared" si="7"/>
        <v>45352</v>
      </c>
      <c r="C58" s="210">
        <v>13993</v>
      </c>
      <c r="D58" s="211">
        <f t="shared" si="8"/>
        <v>45718</v>
      </c>
      <c r="E58" s="210">
        <v>9331</v>
      </c>
      <c r="F58" s="212">
        <f t="shared" si="6"/>
        <v>4662</v>
      </c>
    </row>
    <row r="59" spans="2:6" ht="16.5" customHeight="1">
      <c r="B59" s="199">
        <f t="shared" si="7"/>
        <v>45383</v>
      </c>
      <c r="C59" s="210">
        <v>14841</v>
      </c>
      <c r="D59" s="211">
        <f t="shared" si="8"/>
        <v>45749</v>
      </c>
      <c r="E59" s="210">
        <v>9589</v>
      </c>
      <c r="F59" s="212">
        <f t="shared" si="6"/>
        <v>5252</v>
      </c>
    </row>
    <row r="60" spans="2:6" ht="16.5" customHeight="1">
      <c r="B60" s="199">
        <f t="shared" si="7"/>
        <v>45413</v>
      </c>
      <c r="C60" s="210">
        <v>30100</v>
      </c>
      <c r="D60" s="211">
        <f t="shared" si="8"/>
        <v>45779</v>
      </c>
      <c r="E60" s="210">
        <v>20115</v>
      </c>
      <c r="F60" s="212">
        <f t="shared" si="6"/>
        <v>9985</v>
      </c>
    </row>
    <row r="61" spans="2:6" ht="16.5" customHeight="1">
      <c r="B61" s="199">
        <f t="shared" si="7"/>
        <v>45444</v>
      </c>
      <c r="C61" s="210">
        <v>18603</v>
      </c>
      <c r="D61" s="211">
        <f t="shared" si="8"/>
        <v>45810</v>
      </c>
      <c r="E61" s="210">
        <v>13647</v>
      </c>
      <c r="F61" s="212">
        <f t="shared" si="6"/>
        <v>4956</v>
      </c>
    </row>
    <row r="62" spans="2:6" ht="16.5" customHeight="1">
      <c r="B62" s="199">
        <f t="shared" si="7"/>
        <v>45474</v>
      </c>
      <c r="C62" s="210">
        <v>16436</v>
      </c>
      <c r="D62" s="211">
        <f t="shared" si="8"/>
        <v>45840</v>
      </c>
      <c r="E62" s="210">
        <v>11486</v>
      </c>
      <c r="F62" s="212">
        <f t="shared" si="6"/>
        <v>4950</v>
      </c>
    </row>
    <row r="63" spans="2:6" ht="16.5" customHeight="1">
      <c r="B63" s="199">
        <f t="shared" si="7"/>
        <v>45505</v>
      </c>
      <c r="C63" s="210">
        <v>17035</v>
      </c>
      <c r="D63" s="211">
        <f t="shared" si="8"/>
        <v>45871</v>
      </c>
      <c r="E63" s="210">
        <v>12739</v>
      </c>
      <c r="F63" s="212">
        <f t="shared" si="6"/>
        <v>4296</v>
      </c>
    </row>
    <row r="64" spans="2:6" ht="16.5" customHeight="1">
      <c r="B64" s="199">
        <f t="shared" si="7"/>
        <v>45536</v>
      </c>
      <c r="C64" s="210">
        <v>21914</v>
      </c>
      <c r="D64" s="211">
        <f t="shared" si="8"/>
        <v>45902</v>
      </c>
      <c r="E64" s="210">
        <v>15126</v>
      </c>
      <c r="F64" s="212">
        <f t="shared" si="6"/>
        <v>6788</v>
      </c>
    </row>
    <row r="65" spans="2:6" ht="16.5" customHeight="1">
      <c r="B65" s="199">
        <f t="shared" si="7"/>
        <v>45566</v>
      </c>
      <c r="C65" s="210">
        <v>19813</v>
      </c>
      <c r="D65" s="211">
        <f t="shared" si="8"/>
        <v>45932</v>
      </c>
      <c r="E65" s="210">
        <v>11814</v>
      </c>
      <c r="F65" s="212">
        <f t="shared" si="6"/>
        <v>7999</v>
      </c>
    </row>
    <row r="66" spans="2:6" ht="16.5" customHeight="1">
      <c r="B66" s="199">
        <f t="shared" si="7"/>
        <v>45597</v>
      </c>
      <c r="C66" s="210">
        <v>8430</v>
      </c>
      <c r="D66" s="211">
        <f t="shared" si="8"/>
        <v>45963</v>
      </c>
      <c r="E66" s="210">
        <v>4978</v>
      </c>
      <c r="F66" s="212">
        <f t="shared" si="6"/>
        <v>3452</v>
      </c>
    </row>
    <row r="67" spans="2:6" ht="16.5" customHeight="1">
      <c r="B67" s="199">
        <f t="shared" si="7"/>
        <v>45627</v>
      </c>
      <c r="C67" s="210">
        <v>15360</v>
      </c>
      <c r="D67" s="211">
        <f t="shared" si="8"/>
        <v>45993</v>
      </c>
      <c r="E67" s="210">
        <v>9466</v>
      </c>
      <c r="F67" s="212">
        <f t="shared" si="6"/>
        <v>5894</v>
      </c>
    </row>
    <row r="68" spans="2:6" ht="16.5" customHeight="1"/>
    <row r="69" spans="2:6" ht="16.5" customHeight="1"/>
  </sheetData>
  <mergeCells count="16">
    <mergeCell ref="B39:F39"/>
    <mergeCell ref="B54:F54"/>
    <mergeCell ref="B9:F9"/>
    <mergeCell ref="H16:J16"/>
    <mergeCell ref="H11:J11"/>
    <mergeCell ref="H12:J12"/>
    <mergeCell ref="H13:J13"/>
    <mergeCell ref="H14:J14"/>
    <mergeCell ref="H9:N9"/>
    <mergeCell ref="H10:J10"/>
    <mergeCell ref="B24:F24"/>
    <mergeCell ref="H15:J15"/>
    <mergeCell ref="H20:J20"/>
    <mergeCell ref="H21:J21"/>
    <mergeCell ref="H19:J19"/>
    <mergeCell ref="H22:J22"/>
  </mergeCells>
  <phoneticPr fontId="31" type="noConversion"/>
  <hyperlinks>
    <hyperlink ref="H17" r:id="rId1" xr:uid="{A90C4429-BDE7-4557-8EE0-4994413F0D39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3" tint="0.79998168889431442"/>
    <pageSetUpPr fitToPage="1"/>
  </sheetPr>
  <dimension ref="A1:T136"/>
  <sheetViews>
    <sheetView showGridLines="0" zoomScale="80" zoomScaleNormal="80" workbookViewId="0">
      <selection activeCell="P12" sqref="P12"/>
    </sheetView>
  </sheetViews>
  <sheetFormatPr defaultColWidth="0" defaultRowHeight="15" zeroHeight="1"/>
  <cols>
    <col min="1" max="1" width="5.7109375" style="29" customWidth="1"/>
    <col min="2" max="2" width="27.85546875" style="29" bestFit="1" customWidth="1"/>
    <col min="3" max="3" width="8.28515625" style="29" customWidth="1"/>
    <col min="4" max="4" width="20.42578125" style="29" customWidth="1"/>
    <col min="5" max="15" width="13.7109375" style="29" customWidth="1"/>
    <col min="16" max="16" width="16.140625" style="29" customWidth="1"/>
    <col min="17" max="17" width="10.85546875" style="29" customWidth="1"/>
    <col min="18" max="18" width="10.7109375" style="29" customWidth="1"/>
    <col min="19" max="19" width="8.42578125" style="29" customWidth="1"/>
    <col min="20" max="20" width="8.7109375" style="29" hidden="1" customWidth="1"/>
    <col min="21" max="16384" width="8.85546875" style="29" hidden="1"/>
  </cols>
  <sheetData>
    <row r="1" spans="1:20" ht="3" customHeight="1"/>
    <row r="2" spans="1:20" ht="14.25" customHeight="1">
      <c r="J2" s="90"/>
      <c r="K2" s="90"/>
      <c r="L2" s="90"/>
      <c r="M2" s="90"/>
      <c r="N2" s="90"/>
      <c r="O2" s="90"/>
    </row>
    <row r="3" spans="1:20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0" ht="15" customHeight="1">
      <c r="A4" s="125"/>
      <c r="B4" s="125"/>
      <c r="C4" s="125"/>
      <c r="D4" s="125"/>
      <c r="E4" s="125"/>
      <c r="F4" s="126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</row>
    <row r="5" spans="1:20" ht="20.100000000000001" customHeight="1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</row>
    <row r="6" spans="1:20"/>
    <row r="7" spans="1:20">
      <c r="B7" s="451"/>
    </row>
    <row r="8" spans="1:20" ht="18">
      <c r="B8" s="504" t="s">
        <v>68</v>
      </c>
      <c r="C8" s="504"/>
      <c r="D8" s="504"/>
      <c r="E8" s="504"/>
      <c r="F8" s="504"/>
      <c r="G8" s="504"/>
      <c r="H8" s="504"/>
      <c r="I8" s="504"/>
      <c r="J8" s="504"/>
      <c r="K8" s="504"/>
      <c r="L8" s="504"/>
      <c r="M8" s="504"/>
      <c r="N8" s="504"/>
      <c r="O8" s="504"/>
      <c r="P8" s="504"/>
    </row>
    <row r="9" spans="1:20">
      <c r="B9" s="528"/>
      <c r="C9" s="528"/>
      <c r="D9" s="238">
        <v>45658</v>
      </c>
      <c r="E9" s="238">
        <v>45689</v>
      </c>
      <c r="F9" s="238">
        <v>45717</v>
      </c>
      <c r="G9" s="238">
        <v>45748</v>
      </c>
      <c r="H9" s="238">
        <v>45778</v>
      </c>
      <c r="I9" s="238">
        <v>45809</v>
      </c>
      <c r="J9" s="238">
        <v>45839</v>
      </c>
      <c r="K9" s="238">
        <v>45870</v>
      </c>
      <c r="L9" s="238">
        <v>45901</v>
      </c>
      <c r="M9" s="238">
        <v>45931</v>
      </c>
      <c r="N9" s="238">
        <v>45962</v>
      </c>
      <c r="O9" s="238">
        <v>45992</v>
      </c>
      <c r="P9" s="238" t="s">
        <v>69</v>
      </c>
    </row>
    <row r="10" spans="1:20">
      <c r="B10" s="529" t="s">
        <v>70</v>
      </c>
      <c r="C10" s="529"/>
      <c r="D10" s="322">
        <v>22397893.84</v>
      </c>
      <c r="E10" s="322">
        <v>21491660.43</v>
      </c>
      <c r="F10" s="322">
        <v>23791712.32</v>
      </c>
      <c r="G10" s="322">
        <v>22803121.579999998</v>
      </c>
      <c r="H10" s="322">
        <v>23676732.789999999</v>
      </c>
      <c r="I10" s="322">
        <v>22915268.77</v>
      </c>
      <c r="J10" s="322">
        <v>23635554.809999999</v>
      </c>
      <c r="K10" s="322">
        <v>24436992.789999999</v>
      </c>
      <c r="L10" s="322">
        <v>23864676.91</v>
      </c>
      <c r="M10" s="322">
        <v>24368006</v>
      </c>
      <c r="N10" s="322">
        <v>23125115.940000001</v>
      </c>
      <c r="O10" s="452">
        <v>23183001.59</v>
      </c>
      <c r="P10" s="247">
        <f>SUM(D10:O10)</f>
        <v>279689737.76999998</v>
      </c>
    </row>
    <row r="11" spans="1:20">
      <c r="B11" s="529" t="s">
        <v>71</v>
      </c>
      <c r="C11" s="529"/>
      <c r="D11" s="242">
        <v>13122515.100000001</v>
      </c>
      <c r="E11" s="242">
        <v>10978634.939999999</v>
      </c>
      <c r="F11" s="242">
        <v>11875699.140000001</v>
      </c>
      <c r="G11" s="242">
        <v>11472586.620000001</v>
      </c>
      <c r="H11" s="242">
        <v>11038241.66</v>
      </c>
      <c r="I11" s="242">
        <v>10231585.84</v>
      </c>
      <c r="J11" s="242">
        <v>10486227.359999999</v>
      </c>
      <c r="K11" s="242">
        <v>10596805.260000002</v>
      </c>
      <c r="L11" s="242">
        <v>10577613.52</v>
      </c>
      <c r="M11" s="242">
        <v>11182187.68</v>
      </c>
      <c r="N11" s="242">
        <v>11552667.789999999</v>
      </c>
      <c r="O11" s="242">
        <v>12544482.42</v>
      </c>
      <c r="P11" s="247">
        <f>SUM(D11:O11)</f>
        <v>135659247.32999998</v>
      </c>
    </row>
    <row r="12" spans="1:20">
      <c r="B12" s="526" t="s">
        <v>72</v>
      </c>
      <c r="C12" s="526"/>
      <c r="D12" s="244">
        <f>SUM(D10:D11)</f>
        <v>35520408.939999998</v>
      </c>
      <c r="E12" s="244">
        <f t="shared" ref="E12:N12" si="0">SUM(E10:E11)</f>
        <v>32470295.369999997</v>
      </c>
      <c r="F12" s="244">
        <f t="shared" si="0"/>
        <v>35667411.460000001</v>
      </c>
      <c r="G12" s="244">
        <f t="shared" si="0"/>
        <v>34275708.200000003</v>
      </c>
      <c r="H12" s="244">
        <f t="shared" si="0"/>
        <v>34714974.450000003</v>
      </c>
      <c r="I12" s="244">
        <f t="shared" si="0"/>
        <v>33146854.609999999</v>
      </c>
      <c r="J12" s="244">
        <f t="shared" si="0"/>
        <v>34121782.170000002</v>
      </c>
      <c r="K12" s="244">
        <f t="shared" si="0"/>
        <v>35033798.049999997</v>
      </c>
      <c r="L12" s="244">
        <f t="shared" si="0"/>
        <v>34442290.43</v>
      </c>
      <c r="M12" s="244">
        <f t="shared" si="0"/>
        <v>35550193.68</v>
      </c>
      <c r="N12" s="244">
        <f t="shared" si="0"/>
        <v>34677783.730000004</v>
      </c>
      <c r="O12" s="244">
        <f>SUM(O10:O11)</f>
        <v>35727484.009999998</v>
      </c>
      <c r="P12" s="244">
        <f>SUM(P10:P11)</f>
        <v>415348985.09999996</v>
      </c>
    </row>
    <row r="13" spans="1:20">
      <c r="B13" s="95" t="s">
        <v>32</v>
      </c>
      <c r="C13" s="91"/>
      <c r="D13" s="172"/>
      <c r="E13" s="169"/>
      <c r="F13" s="172"/>
      <c r="G13" s="172"/>
      <c r="H13" s="172"/>
      <c r="I13" s="172"/>
      <c r="J13" s="172"/>
      <c r="K13" s="172"/>
      <c r="L13" s="172"/>
      <c r="M13" s="169"/>
      <c r="N13" s="169"/>
      <c r="O13" s="169"/>
      <c r="P13" s="170"/>
    </row>
    <row r="14" spans="1:20" ht="16.5" customHeight="1">
      <c r="D14" s="169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69"/>
      <c r="P14" s="169"/>
      <c r="Q14" s="86"/>
    </row>
    <row r="15" spans="1:20">
      <c r="B15" s="91"/>
      <c r="C15" s="91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</row>
    <row r="16" spans="1:20" ht="18">
      <c r="B16" s="504" t="s">
        <v>73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</row>
    <row r="17" spans="2:17">
      <c r="B17" s="528" t="s">
        <v>74</v>
      </c>
      <c r="C17" s="528" t="s">
        <v>75</v>
      </c>
      <c r="D17" s="238">
        <v>45658</v>
      </c>
      <c r="E17" s="238">
        <v>45689</v>
      </c>
      <c r="F17" s="238">
        <v>45717</v>
      </c>
      <c r="G17" s="238">
        <v>45748</v>
      </c>
      <c r="H17" s="238">
        <v>45778</v>
      </c>
      <c r="I17" s="238">
        <v>45809</v>
      </c>
      <c r="J17" s="238">
        <v>45839</v>
      </c>
      <c r="K17" s="238">
        <v>45870</v>
      </c>
      <c r="L17" s="238">
        <v>45901</v>
      </c>
      <c r="M17" s="238">
        <v>45931</v>
      </c>
      <c r="N17" s="238">
        <v>45962</v>
      </c>
      <c r="O17" s="238">
        <v>45992</v>
      </c>
      <c r="P17" s="238" t="s">
        <v>72</v>
      </c>
    </row>
    <row r="18" spans="2:17">
      <c r="B18" s="525" t="s">
        <v>48</v>
      </c>
      <c r="C18" s="239" t="s">
        <v>76</v>
      </c>
      <c r="D18" s="242">
        <v>1609775</v>
      </c>
      <c r="E18" s="242">
        <v>1563288</v>
      </c>
      <c r="F18" s="242">
        <v>1535453</v>
      </c>
      <c r="G18" s="242">
        <v>1675959</v>
      </c>
      <c r="H18" s="242">
        <v>1577960</v>
      </c>
      <c r="I18" s="242">
        <v>1686041</v>
      </c>
      <c r="J18" s="242">
        <v>1665393</v>
      </c>
      <c r="K18" s="242">
        <v>1573311</v>
      </c>
      <c r="L18" s="242">
        <v>1538911</v>
      </c>
      <c r="M18" s="242">
        <v>1467587</v>
      </c>
      <c r="N18" s="242">
        <v>1498151</v>
      </c>
      <c r="O18" s="242">
        <v>1705781</v>
      </c>
      <c r="P18" s="243">
        <f>SUM(D18:O18)</f>
        <v>19097610</v>
      </c>
    </row>
    <row r="19" spans="2:17">
      <c r="B19" s="525"/>
      <c r="C19" s="239" t="s">
        <v>77</v>
      </c>
      <c r="D19" s="242">
        <v>3871590</v>
      </c>
      <c r="E19" s="242">
        <v>3893295</v>
      </c>
      <c r="F19" s="242">
        <v>3914310</v>
      </c>
      <c r="G19" s="242">
        <v>3899850</v>
      </c>
      <c r="H19" s="242">
        <v>3866011</v>
      </c>
      <c r="I19" s="242">
        <v>3818237</v>
      </c>
      <c r="J19" s="242">
        <v>3819025</v>
      </c>
      <c r="K19" s="242">
        <v>3861611</v>
      </c>
      <c r="L19" s="242">
        <v>3846854</v>
      </c>
      <c r="M19" s="242">
        <v>3923603</v>
      </c>
      <c r="N19" s="242">
        <v>3940460</v>
      </c>
      <c r="O19" s="242">
        <v>3806159</v>
      </c>
      <c r="P19" s="243">
        <f t="shared" ref="P19:P23" si="1">SUM(D19:O19)</f>
        <v>46461005</v>
      </c>
    </row>
    <row r="20" spans="2:17">
      <c r="B20" s="525"/>
      <c r="C20" s="239" t="s">
        <v>78</v>
      </c>
      <c r="D20" s="242">
        <v>2784992</v>
      </c>
      <c r="E20" s="242">
        <v>2886758</v>
      </c>
      <c r="F20" s="242">
        <v>2962284</v>
      </c>
      <c r="G20" s="242">
        <v>2626648</v>
      </c>
      <c r="H20" s="242">
        <v>2920582</v>
      </c>
      <c r="I20" s="242">
        <v>2626321</v>
      </c>
      <c r="J20" s="242">
        <v>2731628</v>
      </c>
      <c r="K20" s="242">
        <v>2908732</v>
      </c>
      <c r="L20" s="242">
        <v>2992500</v>
      </c>
      <c r="M20" s="242">
        <v>3113107</v>
      </c>
      <c r="N20" s="242">
        <v>3128696</v>
      </c>
      <c r="O20" s="242">
        <v>2670163</v>
      </c>
      <c r="P20" s="243">
        <f t="shared" si="1"/>
        <v>34352411</v>
      </c>
      <c r="Q20" s="93"/>
    </row>
    <row r="21" spans="2:17">
      <c r="B21" s="525"/>
      <c r="C21" s="239" t="s">
        <v>79</v>
      </c>
      <c r="D21" s="242">
        <v>1317893</v>
      </c>
      <c r="E21" s="242">
        <v>1362725</v>
      </c>
      <c r="F21" s="242">
        <v>1448176</v>
      </c>
      <c r="G21" s="242">
        <v>1204675</v>
      </c>
      <c r="H21" s="242">
        <v>1421721</v>
      </c>
      <c r="I21" s="242">
        <v>1298156</v>
      </c>
      <c r="J21" s="242">
        <v>1331868</v>
      </c>
      <c r="K21" s="242">
        <v>1508856</v>
      </c>
      <c r="L21" s="242">
        <v>1597275</v>
      </c>
      <c r="M21" s="242">
        <v>1640813</v>
      </c>
      <c r="N21" s="242">
        <v>1576429</v>
      </c>
      <c r="O21" s="242">
        <v>1249909</v>
      </c>
      <c r="P21" s="243">
        <f t="shared" si="1"/>
        <v>16958496</v>
      </c>
    </row>
    <row r="22" spans="2:17">
      <c r="B22" s="525"/>
      <c r="C22" s="239" t="s">
        <v>80</v>
      </c>
      <c r="D22" s="242">
        <v>487524</v>
      </c>
      <c r="E22" s="242">
        <v>504670</v>
      </c>
      <c r="F22" s="242">
        <v>541373</v>
      </c>
      <c r="G22" s="242">
        <v>455625</v>
      </c>
      <c r="H22" s="242">
        <v>536467</v>
      </c>
      <c r="I22" s="242">
        <v>540342</v>
      </c>
      <c r="J22" s="242">
        <v>572566</v>
      </c>
      <c r="K22" s="242">
        <v>650843</v>
      </c>
      <c r="L22" s="242">
        <v>690648</v>
      </c>
      <c r="M22" s="242">
        <v>664574</v>
      </c>
      <c r="N22" s="242">
        <v>601004</v>
      </c>
      <c r="O22" s="242">
        <v>496970</v>
      </c>
      <c r="P22" s="243">
        <f t="shared" si="1"/>
        <v>6742606</v>
      </c>
    </row>
    <row r="23" spans="2:17">
      <c r="B23" s="525"/>
      <c r="C23" s="239" t="s">
        <v>81</v>
      </c>
      <c r="D23" s="242">
        <v>375268</v>
      </c>
      <c r="E23" s="242">
        <v>431270</v>
      </c>
      <c r="F23" s="242">
        <v>490726</v>
      </c>
      <c r="G23" s="242">
        <v>408916</v>
      </c>
      <c r="H23" s="242">
        <v>457945</v>
      </c>
      <c r="I23" s="242">
        <v>488026</v>
      </c>
      <c r="J23" s="242">
        <v>528503</v>
      </c>
      <c r="K23" s="242">
        <v>601427</v>
      </c>
      <c r="L23" s="242">
        <v>652166</v>
      </c>
      <c r="M23" s="242">
        <v>672149</v>
      </c>
      <c r="N23" s="242">
        <v>514229</v>
      </c>
      <c r="O23" s="242">
        <v>487819</v>
      </c>
      <c r="P23" s="243">
        <f t="shared" si="1"/>
        <v>6108444</v>
      </c>
    </row>
    <row r="24" spans="2:17">
      <c r="B24" s="526" t="s">
        <v>82</v>
      </c>
      <c r="C24" s="526"/>
      <c r="D24" s="244">
        <f xml:space="preserve"> SUM(D18:D23)</f>
        <v>10447042</v>
      </c>
      <c r="E24" s="244">
        <f t="shared" ref="E24:O24" si="2" xml:space="preserve"> SUM(E18:E23)</f>
        <v>10642006</v>
      </c>
      <c r="F24" s="244">
        <f t="shared" si="2"/>
        <v>10892322</v>
      </c>
      <c r="G24" s="244">
        <f t="shared" si="2"/>
        <v>10271673</v>
      </c>
      <c r="H24" s="244">
        <f t="shared" si="2"/>
        <v>10780686</v>
      </c>
      <c r="I24" s="244">
        <f t="shared" si="2"/>
        <v>10457123</v>
      </c>
      <c r="J24" s="244">
        <f t="shared" si="2"/>
        <v>10648983</v>
      </c>
      <c r="K24" s="244">
        <f t="shared" si="2"/>
        <v>11104780</v>
      </c>
      <c r="L24" s="244">
        <f t="shared" si="2"/>
        <v>11318354</v>
      </c>
      <c r="M24" s="244">
        <f t="shared" si="2"/>
        <v>11481833</v>
      </c>
      <c r="N24" s="244">
        <f t="shared" si="2"/>
        <v>11258969</v>
      </c>
      <c r="O24" s="244">
        <f t="shared" si="2"/>
        <v>10416801</v>
      </c>
      <c r="P24" s="241">
        <f>SUM(D24:O24)</f>
        <v>129720572</v>
      </c>
    </row>
    <row r="25" spans="2:17">
      <c r="B25" s="525" t="s">
        <v>49</v>
      </c>
      <c r="C25" s="239" t="s">
        <v>76</v>
      </c>
      <c r="D25" s="242">
        <v>141265</v>
      </c>
      <c r="E25" s="242">
        <v>138898</v>
      </c>
      <c r="F25" s="242">
        <v>134739</v>
      </c>
      <c r="G25" s="242">
        <v>146479</v>
      </c>
      <c r="H25" s="242">
        <v>143370</v>
      </c>
      <c r="I25" s="242">
        <v>154241</v>
      </c>
      <c r="J25" s="242">
        <v>154456</v>
      </c>
      <c r="K25" s="242">
        <v>141475</v>
      </c>
      <c r="L25" s="242">
        <v>133103</v>
      </c>
      <c r="M25" s="242">
        <v>129217</v>
      </c>
      <c r="N25" s="242">
        <v>137277</v>
      </c>
      <c r="O25" s="242">
        <v>158814</v>
      </c>
      <c r="P25" s="243">
        <f>SUM(D25:O25)</f>
        <v>1713334</v>
      </c>
    </row>
    <row r="26" spans="2:17">
      <c r="B26" s="525"/>
      <c r="C26" s="239" t="s">
        <v>77</v>
      </c>
      <c r="D26" s="242">
        <v>345867</v>
      </c>
      <c r="E26" s="242">
        <v>352510</v>
      </c>
      <c r="F26" s="242">
        <v>358649</v>
      </c>
      <c r="G26" s="242">
        <v>358027</v>
      </c>
      <c r="H26" s="242">
        <v>360901</v>
      </c>
      <c r="I26" s="242">
        <v>361807</v>
      </c>
      <c r="J26" s="242">
        <v>351564</v>
      </c>
      <c r="K26" s="242">
        <v>354941</v>
      </c>
      <c r="L26" s="242">
        <v>360353</v>
      </c>
      <c r="M26" s="242">
        <v>353862</v>
      </c>
      <c r="N26" s="242">
        <v>368619</v>
      </c>
      <c r="O26" s="242">
        <v>369640</v>
      </c>
      <c r="P26" s="243">
        <f t="shared" ref="P26:P29" si="3">SUM(D26:O26)</f>
        <v>4296740</v>
      </c>
    </row>
    <row r="27" spans="2:17">
      <c r="B27" s="525"/>
      <c r="C27" s="239" t="s">
        <v>78</v>
      </c>
      <c r="D27" s="242">
        <v>275806</v>
      </c>
      <c r="E27" s="242">
        <v>279712</v>
      </c>
      <c r="F27" s="242">
        <v>295957</v>
      </c>
      <c r="G27" s="242">
        <v>269258</v>
      </c>
      <c r="H27" s="242">
        <v>287001</v>
      </c>
      <c r="I27" s="242">
        <v>262042</v>
      </c>
      <c r="J27" s="242">
        <v>270684</v>
      </c>
      <c r="K27" s="242">
        <v>296379</v>
      </c>
      <c r="L27" s="242">
        <v>306836</v>
      </c>
      <c r="M27" s="242">
        <v>321861</v>
      </c>
      <c r="N27" s="242">
        <v>326175</v>
      </c>
      <c r="O27" s="242">
        <v>292617</v>
      </c>
      <c r="P27" s="243">
        <f t="shared" si="3"/>
        <v>3484328</v>
      </c>
    </row>
    <row r="28" spans="2:17">
      <c r="B28" s="525"/>
      <c r="C28" s="239" t="s">
        <v>79</v>
      </c>
      <c r="D28" s="242">
        <v>139928</v>
      </c>
      <c r="E28" s="242">
        <v>141330</v>
      </c>
      <c r="F28" s="242">
        <v>147786</v>
      </c>
      <c r="G28" s="242">
        <v>126969</v>
      </c>
      <c r="H28" s="242">
        <v>138311</v>
      </c>
      <c r="I28" s="242">
        <v>118359</v>
      </c>
      <c r="J28" s="242">
        <v>124918</v>
      </c>
      <c r="K28" s="242">
        <v>148176</v>
      </c>
      <c r="L28" s="242">
        <v>161378</v>
      </c>
      <c r="M28" s="242">
        <v>174728</v>
      </c>
      <c r="N28" s="242">
        <v>176948</v>
      </c>
      <c r="O28" s="242">
        <v>149085</v>
      </c>
      <c r="P28" s="243">
        <f t="shared" si="3"/>
        <v>1747916</v>
      </c>
    </row>
    <row r="29" spans="2:17">
      <c r="B29" s="525"/>
      <c r="C29" s="239" t="s">
        <v>80</v>
      </c>
      <c r="D29" s="242">
        <v>40205</v>
      </c>
      <c r="E29" s="242">
        <v>40142</v>
      </c>
      <c r="F29" s="242">
        <v>39901</v>
      </c>
      <c r="G29" s="242">
        <v>34248</v>
      </c>
      <c r="H29" s="242">
        <v>39803</v>
      </c>
      <c r="I29" s="242">
        <v>34334</v>
      </c>
      <c r="J29" s="242">
        <v>34034</v>
      </c>
      <c r="K29" s="242">
        <v>41332</v>
      </c>
      <c r="L29" s="242">
        <v>47171</v>
      </c>
      <c r="M29" s="242">
        <v>51307</v>
      </c>
      <c r="N29" s="242">
        <v>54372</v>
      </c>
      <c r="O29" s="242">
        <v>44951</v>
      </c>
      <c r="P29" s="243">
        <f t="shared" si="3"/>
        <v>501800</v>
      </c>
    </row>
    <row r="30" spans="2:17">
      <c r="B30" s="525"/>
      <c r="C30" s="239" t="s">
        <v>81</v>
      </c>
      <c r="D30" s="242">
        <v>35750</v>
      </c>
      <c r="E30" s="242">
        <v>33590</v>
      </c>
      <c r="F30" s="242">
        <v>36532</v>
      </c>
      <c r="G30" s="242">
        <v>32887</v>
      </c>
      <c r="H30" s="242">
        <v>36289</v>
      </c>
      <c r="I30" s="242">
        <v>35784</v>
      </c>
      <c r="J30" s="242">
        <v>34526</v>
      </c>
      <c r="K30" s="242">
        <v>35610</v>
      </c>
      <c r="L30" s="242">
        <v>34013</v>
      </c>
      <c r="M30" s="242">
        <v>38783</v>
      </c>
      <c r="N30" s="242">
        <v>41970</v>
      </c>
      <c r="O30" s="242">
        <v>43721</v>
      </c>
      <c r="P30" s="243">
        <f t="shared" ref="P30:P38" si="4">SUM(D30:O30)</f>
        <v>439455</v>
      </c>
    </row>
    <row r="31" spans="2:17" ht="14.25" customHeight="1">
      <c r="B31" s="526" t="s">
        <v>82</v>
      </c>
      <c r="C31" s="526"/>
      <c r="D31" s="244">
        <f t="shared" ref="D31" si="5">SUM(D25:D30)</f>
        <v>978821</v>
      </c>
      <c r="E31" s="244">
        <f t="shared" ref="E31:O31" si="6">SUM(E25:E30)</f>
        <v>986182</v>
      </c>
      <c r="F31" s="244">
        <f t="shared" si="6"/>
        <v>1013564</v>
      </c>
      <c r="G31" s="244">
        <f t="shared" si="6"/>
        <v>967868</v>
      </c>
      <c r="H31" s="244">
        <f t="shared" si="6"/>
        <v>1005675</v>
      </c>
      <c r="I31" s="244">
        <f t="shared" si="6"/>
        <v>966567</v>
      </c>
      <c r="J31" s="244">
        <f>SUM(J25:J30)</f>
        <v>970182</v>
      </c>
      <c r="K31" s="244">
        <f t="shared" si="6"/>
        <v>1017913</v>
      </c>
      <c r="L31" s="244">
        <f t="shared" si="6"/>
        <v>1042854</v>
      </c>
      <c r="M31" s="244">
        <f t="shared" si="6"/>
        <v>1069758</v>
      </c>
      <c r="N31" s="244">
        <f t="shared" si="6"/>
        <v>1105361</v>
      </c>
      <c r="O31" s="244">
        <f t="shared" si="6"/>
        <v>1058828</v>
      </c>
      <c r="P31" s="241">
        <f t="shared" si="4"/>
        <v>12183573</v>
      </c>
    </row>
    <row r="32" spans="2:17">
      <c r="B32" s="527" t="s">
        <v>50</v>
      </c>
      <c r="C32" s="239" t="s">
        <v>83</v>
      </c>
      <c r="D32" s="242">
        <v>46488</v>
      </c>
      <c r="E32" s="242">
        <v>45176</v>
      </c>
      <c r="F32" s="242">
        <v>46233</v>
      </c>
      <c r="G32" s="242">
        <v>46888</v>
      </c>
      <c r="H32" s="242">
        <v>47349</v>
      </c>
      <c r="I32" s="242">
        <v>45811</v>
      </c>
      <c r="J32" s="242">
        <v>46109</v>
      </c>
      <c r="K32" s="242">
        <v>44976</v>
      </c>
      <c r="L32" s="242">
        <v>45216</v>
      </c>
      <c r="M32" s="242">
        <v>44253</v>
      </c>
      <c r="N32" s="242">
        <v>46515</v>
      </c>
      <c r="O32" s="242">
        <v>47004</v>
      </c>
      <c r="P32" s="245">
        <f t="shared" si="4"/>
        <v>552018</v>
      </c>
    </row>
    <row r="33" spans="2:20">
      <c r="B33" s="527"/>
      <c r="C33" s="239" t="s">
        <v>84</v>
      </c>
      <c r="D33" s="242">
        <v>46820</v>
      </c>
      <c r="E33" s="242">
        <v>46954</v>
      </c>
      <c r="F33" s="242">
        <v>46543</v>
      </c>
      <c r="G33" s="242">
        <v>46696</v>
      </c>
      <c r="H33" s="242">
        <v>47639</v>
      </c>
      <c r="I33" s="242">
        <v>46810</v>
      </c>
      <c r="J33" s="242">
        <v>47290</v>
      </c>
      <c r="K33" s="242">
        <v>47350</v>
      </c>
      <c r="L33" s="242">
        <v>47066</v>
      </c>
      <c r="M33" s="242">
        <v>46585</v>
      </c>
      <c r="N33" s="242">
        <v>47115</v>
      </c>
      <c r="O33" s="242">
        <v>46988</v>
      </c>
      <c r="P33" s="245">
        <f t="shared" si="4"/>
        <v>563856</v>
      </c>
      <c r="T33" s="185"/>
    </row>
    <row r="34" spans="2:20">
      <c r="B34" s="527"/>
      <c r="C34" s="239" t="s">
        <v>85</v>
      </c>
      <c r="D34" s="242">
        <v>44142</v>
      </c>
      <c r="E34" s="242">
        <v>45032</v>
      </c>
      <c r="F34" s="242">
        <v>45882</v>
      </c>
      <c r="G34" s="242">
        <v>44120</v>
      </c>
      <c r="H34" s="242">
        <v>45591</v>
      </c>
      <c r="I34" s="242">
        <v>45512</v>
      </c>
      <c r="J34" s="242">
        <v>45333</v>
      </c>
      <c r="K34" s="242">
        <v>47067</v>
      </c>
      <c r="L34" s="242">
        <v>46360</v>
      </c>
      <c r="M34" s="242">
        <v>46918</v>
      </c>
      <c r="N34" s="242">
        <v>46243</v>
      </c>
      <c r="O34" s="242">
        <v>44157</v>
      </c>
      <c r="P34" s="245">
        <f t="shared" si="4"/>
        <v>546357</v>
      </c>
    </row>
    <row r="35" spans="2:20">
      <c r="B35" s="527"/>
      <c r="C35" s="239" t="s">
        <v>86</v>
      </c>
      <c r="D35" s="242">
        <v>241842</v>
      </c>
      <c r="E35" s="242">
        <v>256503</v>
      </c>
      <c r="F35" s="242">
        <v>252282</v>
      </c>
      <c r="G35" s="242">
        <v>246610</v>
      </c>
      <c r="H35" s="242">
        <v>250942</v>
      </c>
      <c r="I35" s="242">
        <v>248383</v>
      </c>
      <c r="J35" s="242">
        <v>251436</v>
      </c>
      <c r="K35" s="242">
        <v>258089</v>
      </c>
      <c r="L35" s="242">
        <v>260193</v>
      </c>
      <c r="M35" s="242">
        <v>265381</v>
      </c>
      <c r="N35" s="242">
        <v>265477</v>
      </c>
      <c r="O35" s="242">
        <v>246209</v>
      </c>
      <c r="P35" s="245">
        <f t="shared" si="4"/>
        <v>3043347</v>
      </c>
    </row>
    <row r="36" spans="2:20">
      <c r="B36" s="527"/>
      <c r="C36" s="239" t="s">
        <v>87</v>
      </c>
      <c r="D36" s="242">
        <v>769094</v>
      </c>
      <c r="E36" s="242">
        <v>853407</v>
      </c>
      <c r="F36" s="242">
        <v>858529</v>
      </c>
      <c r="G36" s="242">
        <v>848207</v>
      </c>
      <c r="H36" s="242">
        <v>882605</v>
      </c>
      <c r="I36" s="242">
        <v>858808</v>
      </c>
      <c r="J36" s="242">
        <v>879730</v>
      </c>
      <c r="K36" s="242">
        <v>936096</v>
      </c>
      <c r="L36" s="242">
        <v>952783</v>
      </c>
      <c r="M36" s="242">
        <v>974531</v>
      </c>
      <c r="N36" s="242">
        <v>934092</v>
      </c>
      <c r="O36" s="242">
        <v>895315</v>
      </c>
      <c r="P36" s="245">
        <f t="shared" si="4"/>
        <v>10643197</v>
      </c>
    </row>
    <row r="37" spans="2:20">
      <c r="B37" s="524" t="s">
        <v>82</v>
      </c>
      <c r="C37" s="524"/>
      <c r="D37" s="241">
        <f>SUM(D32:D36)</f>
        <v>1148386</v>
      </c>
      <c r="E37" s="241">
        <f t="shared" ref="E37:N37" si="7">SUM(E32:E36)</f>
        <v>1247072</v>
      </c>
      <c r="F37" s="241">
        <f t="shared" si="7"/>
        <v>1249469</v>
      </c>
      <c r="G37" s="241">
        <f t="shared" si="7"/>
        <v>1232521</v>
      </c>
      <c r="H37" s="241">
        <f t="shared" si="7"/>
        <v>1274126</v>
      </c>
      <c r="I37" s="241">
        <f t="shared" si="7"/>
        <v>1245324</v>
      </c>
      <c r="J37" s="241">
        <f t="shared" si="7"/>
        <v>1269898</v>
      </c>
      <c r="K37" s="241">
        <f t="shared" si="7"/>
        <v>1333578</v>
      </c>
      <c r="L37" s="241">
        <f t="shared" si="7"/>
        <v>1351618</v>
      </c>
      <c r="M37" s="241">
        <f t="shared" si="7"/>
        <v>1377668</v>
      </c>
      <c r="N37" s="241">
        <f t="shared" si="7"/>
        <v>1339442</v>
      </c>
      <c r="O37" s="241">
        <f>SUM(O32:O36)</f>
        <v>1279673</v>
      </c>
      <c r="P37" s="241">
        <f t="shared" si="4"/>
        <v>15348775</v>
      </c>
    </row>
    <row r="38" spans="2:20">
      <c r="B38" s="527" t="s">
        <v>51</v>
      </c>
      <c r="C38" s="239" t="s">
        <v>83</v>
      </c>
      <c r="D38" s="242">
        <v>430</v>
      </c>
      <c r="E38" s="242">
        <v>444</v>
      </c>
      <c r="F38" s="242">
        <v>434</v>
      </c>
      <c r="G38" s="242">
        <v>418</v>
      </c>
      <c r="H38" s="242">
        <v>434</v>
      </c>
      <c r="I38" s="242">
        <v>401</v>
      </c>
      <c r="J38" s="242">
        <v>420</v>
      </c>
      <c r="K38" s="242">
        <v>431</v>
      </c>
      <c r="L38" s="242">
        <v>461</v>
      </c>
      <c r="M38" s="242">
        <v>410</v>
      </c>
      <c r="N38" s="242">
        <v>426</v>
      </c>
      <c r="O38" s="242">
        <v>480</v>
      </c>
      <c r="P38" s="245">
        <f t="shared" si="4"/>
        <v>5189</v>
      </c>
    </row>
    <row r="39" spans="2:20">
      <c r="B39" s="527"/>
      <c r="C39" s="239" t="s">
        <v>84</v>
      </c>
      <c r="D39" s="242">
        <v>615</v>
      </c>
      <c r="E39" s="242">
        <v>578</v>
      </c>
      <c r="F39" s="242">
        <v>548</v>
      </c>
      <c r="G39" s="242">
        <v>635</v>
      </c>
      <c r="H39" s="242">
        <v>575</v>
      </c>
      <c r="I39" s="242">
        <v>661</v>
      </c>
      <c r="J39" s="242">
        <v>518</v>
      </c>
      <c r="K39" s="242">
        <v>577</v>
      </c>
      <c r="L39" s="242">
        <v>552</v>
      </c>
      <c r="M39" s="242">
        <v>596</v>
      </c>
      <c r="N39" s="242">
        <v>658</v>
      </c>
      <c r="O39" s="242">
        <v>742</v>
      </c>
      <c r="P39" s="245">
        <f t="shared" ref="P39:P42" si="8">SUM(D39:O39)</f>
        <v>7255</v>
      </c>
    </row>
    <row r="40" spans="2:20">
      <c r="B40" s="527"/>
      <c r="C40" s="239" t="s">
        <v>85</v>
      </c>
      <c r="D40" s="242">
        <v>740</v>
      </c>
      <c r="E40" s="242">
        <v>682</v>
      </c>
      <c r="F40" s="242">
        <v>770</v>
      </c>
      <c r="G40" s="242">
        <v>763</v>
      </c>
      <c r="H40" s="242">
        <v>909</v>
      </c>
      <c r="I40" s="242">
        <v>619</v>
      </c>
      <c r="J40" s="242">
        <v>823</v>
      </c>
      <c r="K40" s="242">
        <v>779</v>
      </c>
      <c r="L40" s="242">
        <v>822</v>
      </c>
      <c r="M40" s="242">
        <v>813</v>
      </c>
      <c r="N40" s="242">
        <v>779</v>
      </c>
      <c r="O40" s="242">
        <v>661</v>
      </c>
      <c r="P40" s="245">
        <f t="shared" si="8"/>
        <v>9160</v>
      </c>
    </row>
    <row r="41" spans="2:20">
      <c r="B41" s="527"/>
      <c r="C41" s="239" t="s">
        <v>86</v>
      </c>
      <c r="D41" s="242">
        <v>6514</v>
      </c>
      <c r="E41" s="242">
        <v>6303</v>
      </c>
      <c r="F41" s="242">
        <v>6192</v>
      </c>
      <c r="G41" s="242">
        <v>6472</v>
      </c>
      <c r="H41" s="242">
        <v>6426</v>
      </c>
      <c r="I41" s="242">
        <v>6779</v>
      </c>
      <c r="J41" s="242">
        <v>6710</v>
      </c>
      <c r="K41" s="242">
        <v>6728</v>
      </c>
      <c r="L41" s="242">
        <v>6912</v>
      </c>
      <c r="M41" s="242">
        <v>6796</v>
      </c>
      <c r="N41" s="242">
        <v>6707</v>
      </c>
      <c r="O41" s="242">
        <v>6890</v>
      </c>
      <c r="P41" s="245">
        <f t="shared" si="8"/>
        <v>79429</v>
      </c>
    </row>
    <row r="42" spans="2:20">
      <c r="B42" s="527"/>
      <c r="C42" s="239" t="s">
        <v>87</v>
      </c>
      <c r="D42" s="242">
        <v>42301</v>
      </c>
      <c r="E42" s="242">
        <v>45486</v>
      </c>
      <c r="F42" s="242">
        <v>42928</v>
      </c>
      <c r="G42" s="242">
        <v>43190</v>
      </c>
      <c r="H42" s="242">
        <v>43786</v>
      </c>
      <c r="I42" s="242">
        <v>46845</v>
      </c>
      <c r="J42" s="242">
        <v>49338</v>
      </c>
      <c r="K42" s="242">
        <v>50829</v>
      </c>
      <c r="L42" s="242">
        <v>52101</v>
      </c>
      <c r="M42" s="242">
        <v>55640</v>
      </c>
      <c r="N42" s="242">
        <v>53555</v>
      </c>
      <c r="O42" s="242">
        <v>41782</v>
      </c>
      <c r="P42" s="245">
        <f t="shared" si="8"/>
        <v>567781</v>
      </c>
    </row>
    <row r="43" spans="2:20">
      <c r="B43" s="524" t="s">
        <v>82</v>
      </c>
      <c r="C43" s="524"/>
      <c r="D43" s="241">
        <f>SUM(D38:D42)</f>
        <v>50600</v>
      </c>
      <c r="E43" s="241">
        <f t="shared" ref="E43:O43" si="9">SUM(E38:E42)</f>
        <v>53493</v>
      </c>
      <c r="F43" s="241">
        <f t="shared" si="9"/>
        <v>50872</v>
      </c>
      <c r="G43" s="241">
        <f t="shared" si="9"/>
        <v>51478</v>
      </c>
      <c r="H43" s="241">
        <f t="shared" si="9"/>
        <v>52130</v>
      </c>
      <c r="I43" s="241">
        <f t="shared" si="9"/>
        <v>55305</v>
      </c>
      <c r="J43" s="241">
        <f t="shared" si="9"/>
        <v>57809</v>
      </c>
      <c r="K43" s="241">
        <f t="shared" si="9"/>
        <v>59344</v>
      </c>
      <c r="L43" s="241">
        <f t="shared" si="9"/>
        <v>60848</v>
      </c>
      <c r="M43" s="241">
        <f t="shared" si="9"/>
        <v>64255</v>
      </c>
      <c r="N43" s="241">
        <f t="shared" si="9"/>
        <v>62125</v>
      </c>
      <c r="O43" s="241">
        <f t="shared" si="9"/>
        <v>50555</v>
      </c>
      <c r="P43" s="241">
        <f t="shared" ref="P43:P52" si="10">SUM(D43:O43)</f>
        <v>668814</v>
      </c>
    </row>
    <row r="44" spans="2:20">
      <c r="B44" s="527" t="s">
        <v>88</v>
      </c>
      <c r="C44" s="239" t="s">
        <v>83</v>
      </c>
      <c r="D44" s="242">
        <v>539</v>
      </c>
      <c r="E44" s="242">
        <v>580</v>
      </c>
      <c r="F44" s="242">
        <v>480</v>
      </c>
      <c r="G44" s="242">
        <v>521</v>
      </c>
      <c r="H44" s="242">
        <v>527</v>
      </c>
      <c r="I44" s="242">
        <v>496</v>
      </c>
      <c r="J44" s="242">
        <v>480</v>
      </c>
      <c r="K44" s="242">
        <v>439</v>
      </c>
      <c r="L44" s="242">
        <v>443</v>
      </c>
      <c r="M44" s="242">
        <v>440</v>
      </c>
      <c r="N44" s="242">
        <v>436</v>
      </c>
      <c r="O44" s="242">
        <v>544</v>
      </c>
      <c r="P44" s="245">
        <f t="shared" si="10"/>
        <v>5925</v>
      </c>
    </row>
    <row r="45" spans="2:20">
      <c r="B45" s="527"/>
      <c r="C45" s="239" t="s">
        <v>84</v>
      </c>
      <c r="D45" s="242">
        <v>793</v>
      </c>
      <c r="E45" s="242">
        <v>675</v>
      </c>
      <c r="F45" s="242">
        <v>678</v>
      </c>
      <c r="G45" s="242">
        <v>671</v>
      </c>
      <c r="H45" s="242">
        <v>760</v>
      </c>
      <c r="I45" s="242">
        <v>678</v>
      </c>
      <c r="J45" s="242">
        <v>723</v>
      </c>
      <c r="K45" s="242">
        <v>635</v>
      </c>
      <c r="L45" s="242">
        <v>601</v>
      </c>
      <c r="M45" s="242">
        <v>578</v>
      </c>
      <c r="N45" s="242">
        <v>675</v>
      </c>
      <c r="O45" s="242">
        <v>803</v>
      </c>
      <c r="P45" s="245">
        <f t="shared" si="10"/>
        <v>8270</v>
      </c>
    </row>
    <row r="46" spans="2:20">
      <c r="B46" s="527"/>
      <c r="C46" s="239" t="s">
        <v>85</v>
      </c>
      <c r="D46" s="242">
        <v>1024</v>
      </c>
      <c r="E46" s="242">
        <v>955</v>
      </c>
      <c r="F46" s="242">
        <v>924</v>
      </c>
      <c r="G46" s="242">
        <v>1098</v>
      </c>
      <c r="H46" s="242">
        <v>768</v>
      </c>
      <c r="I46" s="242">
        <v>960</v>
      </c>
      <c r="J46" s="242">
        <v>823</v>
      </c>
      <c r="K46" s="242">
        <v>827</v>
      </c>
      <c r="L46" s="242">
        <v>897</v>
      </c>
      <c r="M46" s="242">
        <v>742</v>
      </c>
      <c r="N46" s="242">
        <v>758</v>
      </c>
      <c r="O46" s="242">
        <v>1079</v>
      </c>
      <c r="P46" s="245">
        <f t="shared" si="10"/>
        <v>10855</v>
      </c>
    </row>
    <row r="47" spans="2:20">
      <c r="B47" s="527"/>
      <c r="C47" s="239" t="s">
        <v>86</v>
      </c>
      <c r="D47" s="242">
        <v>13626</v>
      </c>
      <c r="E47" s="242">
        <v>14296</v>
      </c>
      <c r="F47" s="242">
        <v>12509</v>
      </c>
      <c r="G47" s="242">
        <v>12135</v>
      </c>
      <c r="H47" s="242">
        <v>12086</v>
      </c>
      <c r="I47" s="242">
        <v>12201</v>
      </c>
      <c r="J47" s="242">
        <v>12963</v>
      </c>
      <c r="K47" s="242">
        <v>13028</v>
      </c>
      <c r="L47" s="242">
        <v>11956</v>
      </c>
      <c r="M47" s="242">
        <v>12998</v>
      </c>
      <c r="N47" s="242">
        <v>12468</v>
      </c>
      <c r="O47" s="242">
        <v>12880</v>
      </c>
      <c r="P47" s="245">
        <f t="shared" si="10"/>
        <v>153146</v>
      </c>
    </row>
    <row r="48" spans="2:20">
      <c r="B48" s="527"/>
      <c r="C48" s="239" t="s">
        <v>87</v>
      </c>
      <c r="D48" s="242">
        <v>742787</v>
      </c>
      <c r="E48" s="242">
        <v>769932</v>
      </c>
      <c r="F48" s="242">
        <v>852529</v>
      </c>
      <c r="G48" s="242">
        <v>805576</v>
      </c>
      <c r="H48" s="242">
        <v>937113</v>
      </c>
      <c r="I48" s="242">
        <v>883120</v>
      </c>
      <c r="J48" s="242">
        <v>823099</v>
      </c>
      <c r="K48" s="242">
        <v>886748</v>
      </c>
      <c r="L48" s="242">
        <v>944945</v>
      </c>
      <c r="M48" s="242">
        <v>973573</v>
      </c>
      <c r="N48" s="242">
        <v>962617</v>
      </c>
      <c r="O48" s="242">
        <v>820807</v>
      </c>
      <c r="P48" s="245">
        <f t="shared" si="10"/>
        <v>10402846</v>
      </c>
    </row>
    <row r="49" spans="2:16">
      <c r="B49" s="524" t="s">
        <v>82</v>
      </c>
      <c r="C49" s="524"/>
      <c r="D49" s="241">
        <f>SUM(D44:D48)</f>
        <v>758769</v>
      </c>
      <c r="E49" s="241">
        <f t="shared" ref="E49:O49" si="11">SUM(E44:E48)</f>
        <v>786438</v>
      </c>
      <c r="F49" s="241">
        <f t="shared" si="11"/>
        <v>867120</v>
      </c>
      <c r="G49" s="241">
        <f t="shared" si="11"/>
        <v>820001</v>
      </c>
      <c r="H49" s="241">
        <f t="shared" si="11"/>
        <v>951254</v>
      </c>
      <c r="I49" s="241">
        <f t="shared" si="11"/>
        <v>897455</v>
      </c>
      <c r="J49" s="241">
        <f t="shared" si="11"/>
        <v>838088</v>
      </c>
      <c r="K49" s="241">
        <f t="shared" si="11"/>
        <v>901677</v>
      </c>
      <c r="L49" s="241">
        <f t="shared" si="11"/>
        <v>958842</v>
      </c>
      <c r="M49" s="241">
        <f t="shared" si="11"/>
        <v>988331</v>
      </c>
      <c r="N49" s="241">
        <f t="shared" si="11"/>
        <v>976954</v>
      </c>
      <c r="O49" s="241">
        <f t="shared" si="11"/>
        <v>836113</v>
      </c>
      <c r="P49" s="241">
        <f t="shared" si="10"/>
        <v>10581042</v>
      </c>
    </row>
    <row r="50" spans="2:16">
      <c r="B50" s="524" t="s">
        <v>89</v>
      </c>
      <c r="C50" s="524"/>
      <c r="D50" s="241">
        <f t="shared" ref="D50" si="12">(D24+D31+D37+D43+D49)</f>
        <v>13383618</v>
      </c>
      <c r="E50" s="241">
        <f t="shared" ref="E50:O50" si="13">(E24+E31+E37+E43+E49)</f>
        <v>13715191</v>
      </c>
      <c r="F50" s="241">
        <f>(F24+F31+F37+F43+F49)</f>
        <v>14073347</v>
      </c>
      <c r="G50" s="241">
        <f t="shared" si="13"/>
        <v>13343541</v>
      </c>
      <c r="H50" s="241">
        <f t="shared" si="13"/>
        <v>14063871</v>
      </c>
      <c r="I50" s="241">
        <f t="shared" si="13"/>
        <v>13621774</v>
      </c>
      <c r="J50" s="241">
        <f t="shared" si="13"/>
        <v>13784960</v>
      </c>
      <c r="K50" s="241">
        <f t="shared" si="13"/>
        <v>14417292</v>
      </c>
      <c r="L50" s="241">
        <f t="shared" si="13"/>
        <v>14732516</v>
      </c>
      <c r="M50" s="241">
        <f t="shared" si="13"/>
        <v>14981845</v>
      </c>
      <c r="N50" s="241">
        <f t="shared" si="13"/>
        <v>14742851</v>
      </c>
      <c r="O50" s="241">
        <f t="shared" si="13"/>
        <v>13641970</v>
      </c>
      <c r="P50" s="241">
        <f>P49+P43+P37+P31+P24</f>
        <v>168502776</v>
      </c>
    </row>
    <row r="51" spans="2:16">
      <c r="B51" s="246" t="s">
        <v>90</v>
      </c>
      <c r="C51" s="239"/>
      <c r="D51" s="242">
        <v>161734</v>
      </c>
      <c r="E51" s="242">
        <v>150931</v>
      </c>
      <c r="F51" s="242">
        <v>128336</v>
      </c>
      <c r="G51" s="242">
        <v>95467</v>
      </c>
      <c r="H51" s="242">
        <v>102113</v>
      </c>
      <c r="I51" s="242">
        <v>79353</v>
      </c>
      <c r="J51" s="242">
        <v>87023</v>
      </c>
      <c r="K51" s="242">
        <v>95026</v>
      </c>
      <c r="L51" s="242">
        <v>122223</v>
      </c>
      <c r="M51" s="242">
        <v>98938</v>
      </c>
      <c r="N51" s="242">
        <v>126788</v>
      </c>
      <c r="O51" s="242">
        <v>96236</v>
      </c>
      <c r="P51" s="245">
        <f t="shared" si="10"/>
        <v>1344168</v>
      </c>
    </row>
    <row r="52" spans="2:16">
      <c r="B52" s="246" t="s">
        <v>91</v>
      </c>
      <c r="C52" s="239"/>
      <c r="D52" s="242">
        <v>124</v>
      </c>
      <c r="E52" s="242">
        <v>109</v>
      </c>
      <c r="F52" s="242">
        <v>10742</v>
      </c>
      <c r="G52" s="242">
        <v>20199</v>
      </c>
      <c r="H52" s="242">
        <v>17995</v>
      </c>
      <c r="I52" s="242">
        <v>35751</v>
      </c>
      <c r="J52" s="242">
        <v>36634</v>
      </c>
      <c r="K52" s="242">
        <v>38942</v>
      </c>
      <c r="L52" s="242">
        <v>22267</v>
      </c>
      <c r="M52" s="242">
        <v>22090</v>
      </c>
      <c r="N52" s="242">
        <v>83964</v>
      </c>
      <c r="O52" s="242">
        <v>3247</v>
      </c>
      <c r="P52" s="245">
        <f t="shared" si="10"/>
        <v>292064</v>
      </c>
    </row>
    <row r="53" spans="2:16">
      <c r="B53" s="524" t="s">
        <v>92</v>
      </c>
      <c r="C53" s="524"/>
      <c r="D53" s="241">
        <f>SUM(D51:D52)</f>
        <v>161858</v>
      </c>
      <c r="E53" s="241">
        <f t="shared" ref="E53:O53" si="14">SUM(E51:E52)</f>
        <v>151040</v>
      </c>
      <c r="F53" s="241">
        <f>SUM(F51:F52)</f>
        <v>139078</v>
      </c>
      <c r="G53" s="241">
        <f t="shared" si="14"/>
        <v>115666</v>
      </c>
      <c r="H53" s="241">
        <f t="shared" si="14"/>
        <v>120108</v>
      </c>
      <c r="I53" s="241">
        <f t="shared" si="14"/>
        <v>115104</v>
      </c>
      <c r="J53" s="241">
        <f t="shared" si="14"/>
        <v>123657</v>
      </c>
      <c r="K53" s="241">
        <f t="shared" si="14"/>
        <v>133968</v>
      </c>
      <c r="L53" s="241">
        <f t="shared" si="14"/>
        <v>144490</v>
      </c>
      <c r="M53" s="241">
        <f t="shared" si="14"/>
        <v>121028</v>
      </c>
      <c r="N53" s="241">
        <f t="shared" si="14"/>
        <v>210752</v>
      </c>
      <c r="O53" s="241">
        <f t="shared" si="14"/>
        <v>99483</v>
      </c>
      <c r="P53" s="241">
        <f>SUM(D53:O53)</f>
        <v>1636232</v>
      </c>
    </row>
    <row r="54" spans="2:16">
      <c r="B54" s="524" t="s">
        <v>93</v>
      </c>
      <c r="C54" s="524"/>
      <c r="D54" s="241">
        <f>D31+D37+D43+D49+D53+D24</f>
        <v>13545476</v>
      </c>
      <c r="E54" s="241">
        <f>E31+E37+E43+E49+E53+E24</f>
        <v>13866231</v>
      </c>
      <c r="F54" s="241">
        <f>F31+F37+F43+F49+F53+F24</f>
        <v>14212425</v>
      </c>
      <c r="G54" s="241">
        <f t="shared" ref="G54:O54" si="15">G31+G37+G43+G49+G53+G24</f>
        <v>13459207</v>
      </c>
      <c r="H54" s="241">
        <f t="shared" si="15"/>
        <v>14183979</v>
      </c>
      <c r="I54" s="241">
        <f t="shared" si="15"/>
        <v>13736878</v>
      </c>
      <c r="J54" s="241">
        <f t="shared" si="15"/>
        <v>13908617</v>
      </c>
      <c r="K54" s="241">
        <f t="shared" si="15"/>
        <v>14551260</v>
      </c>
      <c r="L54" s="241">
        <f t="shared" si="15"/>
        <v>14877006</v>
      </c>
      <c r="M54" s="241">
        <f t="shared" si="15"/>
        <v>15102873</v>
      </c>
      <c r="N54" s="241">
        <f t="shared" si="15"/>
        <v>14953603</v>
      </c>
      <c r="O54" s="241">
        <f t="shared" si="15"/>
        <v>13741453</v>
      </c>
      <c r="P54" s="241">
        <f>SUM(D54:O54)</f>
        <v>170139008</v>
      </c>
    </row>
    <row r="55" spans="2:16">
      <c r="B55" s="95" t="s">
        <v>32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</row>
    <row r="56" spans="2:16"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</row>
    <row r="57" spans="2:16" ht="18">
      <c r="B57" s="504" t="s">
        <v>94</v>
      </c>
      <c r="C57" s="504"/>
      <c r="D57" s="504"/>
      <c r="E57" s="504"/>
      <c r="F57" s="504"/>
      <c r="G57" s="504"/>
      <c r="H57" s="504"/>
      <c r="I57" s="504"/>
      <c r="J57" s="504"/>
      <c r="K57" s="504"/>
      <c r="L57" s="504"/>
      <c r="M57" s="504"/>
      <c r="N57" s="504"/>
      <c r="O57" s="504"/>
      <c r="P57" s="504"/>
    </row>
    <row r="58" spans="2:16">
      <c r="B58" s="237" t="s">
        <v>74</v>
      </c>
      <c r="C58" s="237" t="s">
        <v>75</v>
      </c>
      <c r="D58" s="238">
        <f>D17</f>
        <v>45658</v>
      </c>
      <c r="E58" s="238">
        <f t="shared" ref="E58:O58" si="16">E17</f>
        <v>45689</v>
      </c>
      <c r="F58" s="238">
        <f t="shared" si="16"/>
        <v>45717</v>
      </c>
      <c r="G58" s="238">
        <f t="shared" si="16"/>
        <v>45748</v>
      </c>
      <c r="H58" s="238">
        <f t="shared" si="16"/>
        <v>45778</v>
      </c>
      <c r="I58" s="238">
        <f t="shared" si="16"/>
        <v>45809</v>
      </c>
      <c r="J58" s="238">
        <f t="shared" si="16"/>
        <v>45839</v>
      </c>
      <c r="K58" s="238">
        <f t="shared" si="16"/>
        <v>45870</v>
      </c>
      <c r="L58" s="238">
        <f t="shared" si="16"/>
        <v>45901</v>
      </c>
      <c r="M58" s="238">
        <f t="shared" si="16"/>
        <v>45931</v>
      </c>
      <c r="N58" s="238">
        <f t="shared" si="16"/>
        <v>45962</v>
      </c>
      <c r="O58" s="238">
        <f t="shared" si="16"/>
        <v>45992</v>
      </c>
      <c r="P58" s="238" t="s">
        <v>72</v>
      </c>
    </row>
    <row r="59" spans="2:16">
      <c r="B59" s="525" t="s">
        <v>48</v>
      </c>
      <c r="C59" s="239" t="s">
        <v>76</v>
      </c>
      <c r="D59" s="242">
        <v>1485201.3</v>
      </c>
      <c r="E59" s="242">
        <v>1442564.05</v>
      </c>
      <c r="F59" s="242">
        <v>1419155.36</v>
      </c>
      <c r="G59" s="242">
        <v>1552012.93</v>
      </c>
      <c r="H59" s="242">
        <v>1454955.78</v>
      </c>
      <c r="I59" s="242">
        <v>1558725.54</v>
      </c>
      <c r="J59" s="242">
        <v>1542229.1</v>
      </c>
      <c r="K59" s="242">
        <v>1455476.43</v>
      </c>
      <c r="L59" s="242">
        <v>1427039.15</v>
      </c>
      <c r="M59" s="242">
        <v>1356117.93</v>
      </c>
      <c r="N59" s="242">
        <v>1373729.19</v>
      </c>
      <c r="O59" s="242">
        <v>1570279.69</v>
      </c>
      <c r="P59" s="243">
        <f>SUM(D59:O59)</f>
        <v>17637486.449999999</v>
      </c>
    </row>
    <row r="60" spans="2:16">
      <c r="B60" s="525"/>
      <c r="C60" s="239" t="s">
        <v>77</v>
      </c>
      <c r="D60" s="242">
        <v>3588256.8</v>
      </c>
      <c r="E60" s="242">
        <v>3609713.35</v>
      </c>
      <c r="F60" s="242">
        <v>3635122.54</v>
      </c>
      <c r="G60" s="242">
        <v>3613760.11</v>
      </c>
      <c r="H60" s="242">
        <v>3582841.1</v>
      </c>
      <c r="I60" s="242">
        <v>3542915.21</v>
      </c>
      <c r="J60" s="242">
        <v>3547288.4</v>
      </c>
      <c r="K60" s="242">
        <v>3592851.03</v>
      </c>
      <c r="L60" s="242">
        <v>3580834.8</v>
      </c>
      <c r="M60" s="242">
        <v>3651834.6</v>
      </c>
      <c r="N60" s="242">
        <v>3657871.9</v>
      </c>
      <c r="O60" s="322">
        <v>3517557.82</v>
      </c>
      <c r="P60" s="243">
        <f t="shared" ref="P60:P64" si="17">SUM(D60:O60)</f>
        <v>43120847.660000004</v>
      </c>
    </row>
    <row r="61" spans="2:16">
      <c r="B61" s="525"/>
      <c r="C61" s="239" t="s">
        <v>78</v>
      </c>
      <c r="D61" s="242">
        <v>2476559.4300000002</v>
      </c>
      <c r="E61" s="242">
        <v>2579428.09</v>
      </c>
      <c r="F61" s="242">
        <v>2646514.4700000002</v>
      </c>
      <c r="G61" s="242">
        <v>2325489.7000000002</v>
      </c>
      <c r="H61" s="242">
        <v>2615486.2999999998</v>
      </c>
      <c r="I61" s="242">
        <v>2336192.15</v>
      </c>
      <c r="J61" s="242">
        <v>2427678.13</v>
      </c>
      <c r="K61" s="242">
        <v>2596779.7000000002</v>
      </c>
      <c r="L61" s="242">
        <v>2676203.9</v>
      </c>
      <c r="M61" s="242">
        <v>2788465.8</v>
      </c>
      <c r="N61" s="242">
        <v>2802456.29</v>
      </c>
      <c r="O61" s="322">
        <v>2365560.6</v>
      </c>
      <c r="P61" s="243">
        <f t="shared" si="17"/>
        <v>30636814.560000002</v>
      </c>
    </row>
    <row r="62" spans="2:16">
      <c r="B62" s="525"/>
      <c r="C62" s="239" t="s">
        <v>79</v>
      </c>
      <c r="D62" s="242">
        <v>1048754.5</v>
      </c>
      <c r="E62" s="242">
        <v>1093877.9099999999</v>
      </c>
      <c r="F62" s="242">
        <v>1155659.72</v>
      </c>
      <c r="G62" s="242">
        <v>943398.18</v>
      </c>
      <c r="H62" s="242">
        <v>1147365.74</v>
      </c>
      <c r="I62" s="242">
        <v>1028804.8</v>
      </c>
      <c r="J62" s="242">
        <v>1052136</v>
      </c>
      <c r="K62" s="242">
        <v>1202818.8999999999</v>
      </c>
      <c r="L62" s="242">
        <v>1277599.3999999999</v>
      </c>
      <c r="M62" s="242">
        <v>1322714.19</v>
      </c>
      <c r="N62" s="242">
        <v>1267854.2</v>
      </c>
      <c r="O62" s="242">
        <v>985913.4</v>
      </c>
      <c r="P62" s="243">
        <f t="shared" si="17"/>
        <v>13526896.939999999</v>
      </c>
    </row>
    <row r="63" spans="2:16">
      <c r="B63" s="525"/>
      <c r="C63" s="239" t="s">
        <v>80</v>
      </c>
      <c r="D63" s="242">
        <v>319319</v>
      </c>
      <c r="E63" s="242">
        <v>331004.5</v>
      </c>
      <c r="F63" s="242">
        <v>345969.5</v>
      </c>
      <c r="G63" s="242">
        <v>285775.8</v>
      </c>
      <c r="H63" s="242">
        <v>351273.7</v>
      </c>
      <c r="I63" s="242">
        <v>345001.9</v>
      </c>
      <c r="J63" s="242">
        <v>357425.87</v>
      </c>
      <c r="K63" s="242">
        <v>408364.2</v>
      </c>
      <c r="L63" s="242">
        <v>435532.7</v>
      </c>
      <c r="M63" s="242">
        <v>426493.46</v>
      </c>
      <c r="N63" s="242">
        <v>387521.2</v>
      </c>
      <c r="O63" s="242">
        <v>317127.3</v>
      </c>
      <c r="P63" s="243">
        <f t="shared" si="17"/>
        <v>4310809.1300000008</v>
      </c>
    </row>
    <row r="64" spans="2:16">
      <c r="B64" s="525"/>
      <c r="C64" s="239" t="s">
        <v>81</v>
      </c>
      <c r="D64" s="242">
        <v>226090.1</v>
      </c>
      <c r="E64" s="242">
        <v>264752</v>
      </c>
      <c r="F64" s="242">
        <v>306146.38</v>
      </c>
      <c r="G64" s="242">
        <v>239166.8</v>
      </c>
      <c r="H64" s="242">
        <v>269035.09999999998</v>
      </c>
      <c r="I64" s="242">
        <v>280908.3</v>
      </c>
      <c r="J64" s="242">
        <v>298515.89</v>
      </c>
      <c r="K64" s="242">
        <v>347915.54</v>
      </c>
      <c r="L64" s="242">
        <v>372389.7</v>
      </c>
      <c r="M64" s="242">
        <v>396030.9</v>
      </c>
      <c r="N64" s="242">
        <v>300623.49</v>
      </c>
      <c r="O64" s="242">
        <v>298032.5</v>
      </c>
      <c r="P64" s="243">
        <f t="shared" si="17"/>
        <v>3599606.7</v>
      </c>
    </row>
    <row r="65" spans="2:16" ht="14.25" customHeight="1">
      <c r="B65" s="526" t="s">
        <v>82</v>
      </c>
      <c r="C65" s="526"/>
      <c r="D65" s="244">
        <f xml:space="preserve"> SUM(D59:D64)</f>
        <v>9144181.129999999</v>
      </c>
      <c r="E65" s="244">
        <f t="shared" ref="E65:O65" si="18" xml:space="preserve"> SUM(E59:E64)</f>
        <v>9321339.9000000004</v>
      </c>
      <c r="F65" s="244">
        <f t="shared" si="18"/>
        <v>9508567.9700000025</v>
      </c>
      <c r="G65" s="244">
        <f t="shared" si="18"/>
        <v>8959603.5200000014</v>
      </c>
      <c r="H65" s="244">
        <f t="shared" si="18"/>
        <v>9420957.7199999988</v>
      </c>
      <c r="I65" s="244">
        <f t="shared" si="18"/>
        <v>9092547.9000000022</v>
      </c>
      <c r="J65" s="244">
        <f t="shared" si="18"/>
        <v>9225273.3899999987</v>
      </c>
      <c r="K65" s="244">
        <f t="shared" si="18"/>
        <v>9604205.7999999989</v>
      </c>
      <c r="L65" s="244">
        <f t="shared" si="18"/>
        <v>9769599.6499999985</v>
      </c>
      <c r="M65" s="244">
        <f t="shared" si="18"/>
        <v>9941656.8800000008</v>
      </c>
      <c r="N65" s="244">
        <f t="shared" si="18"/>
        <v>9790056.2699999996</v>
      </c>
      <c r="O65" s="244">
        <f t="shared" si="18"/>
        <v>9054471.3100000005</v>
      </c>
      <c r="P65" s="244">
        <f>SUM(D65:O65)</f>
        <v>112832461.43999998</v>
      </c>
    </row>
    <row r="66" spans="2:16">
      <c r="B66" s="525" t="s">
        <v>49</v>
      </c>
      <c r="C66" s="239" t="s">
        <v>76</v>
      </c>
      <c r="D66" s="242">
        <v>125306.05</v>
      </c>
      <c r="E66" s="242">
        <v>122968.64</v>
      </c>
      <c r="F66" s="242">
        <v>119232.65</v>
      </c>
      <c r="G66" s="242">
        <v>129855.74</v>
      </c>
      <c r="H66" s="242">
        <v>126165.83</v>
      </c>
      <c r="I66" s="242">
        <v>136520.03</v>
      </c>
      <c r="J66" s="242">
        <v>137043.82</v>
      </c>
      <c r="K66" s="242">
        <v>124987.95</v>
      </c>
      <c r="L66" s="242">
        <v>118211.27</v>
      </c>
      <c r="M66" s="242">
        <v>114660.5</v>
      </c>
      <c r="N66" s="242">
        <v>120677.92</v>
      </c>
      <c r="O66" s="242">
        <v>139186.32</v>
      </c>
      <c r="P66" s="243">
        <f>SUM(D66:O66)</f>
        <v>1514816.72</v>
      </c>
    </row>
    <row r="67" spans="2:16">
      <c r="B67" s="525"/>
      <c r="C67" s="239" t="s">
        <v>77</v>
      </c>
      <c r="D67" s="242">
        <v>304959.81</v>
      </c>
      <c r="E67" s="242">
        <v>311112.99</v>
      </c>
      <c r="F67" s="242">
        <v>316820.61</v>
      </c>
      <c r="G67" s="242">
        <v>314803.21000000002</v>
      </c>
      <c r="H67" s="242">
        <v>317249.11</v>
      </c>
      <c r="I67" s="242">
        <v>317242.12</v>
      </c>
      <c r="J67" s="242">
        <v>308152.83</v>
      </c>
      <c r="K67" s="242">
        <v>312100.46999999997</v>
      </c>
      <c r="L67" s="242">
        <v>317679.05</v>
      </c>
      <c r="M67" s="242">
        <v>310995.65999999997</v>
      </c>
      <c r="N67" s="242">
        <v>324223.95</v>
      </c>
      <c r="O67" s="242">
        <v>323761.61</v>
      </c>
      <c r="P67" s="243">
        <f t="shared" ref="P67:P89" si="19">SUM(D67:O67)</f>
        <v>3779101.4200000004</v>
      </c>
    </row>
    <row r="68" spans="2:16">
      <c r="B68" s="525"/>
      <c r="C68" s="239" t="s">
        <v>78</v>
      </c>
      <c r="D68" s="242">
        <v>233369.82</v>
      </c>
      <c r="E68" s="242">
        <v>235766.9</v>
      </c>
      <c r="F68" s="242">
        <v>249523.49</v>
      </c>
      <c r="G68" s="242">
        <v>225616.85</v>
      </c>
      <c r="H68" s="242">
        <v>242352.06</v>
      </c>
      <c r="I68" s="242">
        <v>220378.16</v>
      </c>
      <c r="J68" s="242">
        <v>227827.26</v>
      </c>
      <c r="K68" s="242">
        <v>248838.14</v>
      </c>
      <c r="L68" s="242">
        <v>258864.07</v>
      </c>
      <c r="M68" s="242">
        <v>273291.67</v>
      </c>
      <c r="N68" s="242">
        <v>275433.39</v>
      </c>
      <c r="O68" s="242">
        <v>244405.7</v>
      </c>
      <c r="P68" s="243">
        <f t="shared" si="19"/>
        <v>2935667.51</v>
      </c>
    </row>
    <row r="69" spans="2:16">
      <c r="B69" s="525"/>
      <c r="C69" s="239" t="s">
        <v>79</v>
      </c>
      <c r="D69" s="242">
        <v>111810.8</v>
      </c>
      <c r="E69" s="242">
        <v>113488.29</v>
      </c>
      <c r="F69" s="242">
        <v>118768.4</v>
      </c>
      <c r="G69" s="242">
        <v>101737.2</v>
      </c>
      <c r="H69" s="242">
        <v>111323</v>
      </c>
      <c r="I69" s="242">
        <v>93173.4</v>
      </c>
      <c r="J69" s="242">
        <v>96466.8</v>
      </c>
      <c r="K69" s="242">
        <v>116235.4</v>
      </c>
      <c r="L69" s="242">
        <v>126592.2</v>
      </c>
      <c r="M69" s="242">
        <v>139119.20000000001</v>
      </c>
      <c r="N69" s="242">
        <v>141066.79999999999</v>
      </c>
      <c r="O69" s="242">
        <v>117394.2</v>
      </c>
      <c r="P69" s="243">
        <f t="shared" si="19"/>
        <v>1387175.69</v>
      </c>
    </row>
    <row r="70" spans="2:16">
      <c r="B70" s="525"/>
      <c r="C70" s="239" t="s">
        <v>80</v>
      </c>
      <c r="D70" s="242">
        <v>29000</v>
      </c>
      <c r="E70" s="242">
        <v>28817</v>
      </c>
      <c r="F70" s="242">
        <v>28505</v>
      </c>
      <c r="G70" s="242">
        <v>24361.4</v>
      </c>
      <c r="H70" s="242">
        <v>29490.6</v>
      </c>
      <c r="I70" s="242">
        <v>24098.2</v>
      </c>
      <c r="J70" s="242">
        <v>23211</v>
      </c>
      <c r="K70" s="242">
        <v>28461</v>
      </c>
      <c r="L70" s="242">
        <v>32573</v>
      </c>
      <c r="M70" s="242">
        <v>35876.800000000003</v>
      </c>
      <c r="N70" s="242">
        <v>39850.400000000001</v>
      </c>
      <c r="O70" s="242">
        <v>32889.4</v>
      </c>
      <c r="P70" s="243">
        <f t="shared" si="19"/>
        <v>357133.80000000005</v>
      </c>
    </row>
    <row r="71" spans="2:16">
      <c r="B71" s="525"/>
      <c r="C71" s="239" t="s">
        <v>81</v>
      </c>
      <c r="D71" s="242">
        <v>25620.400000000001</v>
      </c>
      <c r="E71" s="242">
        <v>23026.799999999999</v>
      </c>
      <c r="F71" s="242">
        <v>23456.799999999999</v>
      </c>
      <c r="G71" s="242">
        <v>22322.799999999999</v>
      </c>
      <c r="H71" s="242">
        <v>25433.8</v>
      </c>
      <c r="I71" s="242">
        <v>26343.8</v>
      </c>
      <c r="J71" s="242">
        <v>23463.4</v>
      </c>
      <c r="K71" s="242">
        <v>22721.200000000001</v>
      </c>
      <c r="L71" s="242">
        <v>21530.400000000001</v>
      </c>
      <c r="M71" s="242">
        <v>23185.8</v>
      </c>
      <c r="N71" s="242">
        <v>27135.599999999999</v>
      </c>
      <c r="O71" s="242">
        <v>30997.200000000001</v>
      </c>
      <c r="P71" s="243">
        <f t="shared" si="19"/>
        <v>295238</v>
      </c>
    </row>
    <row r="72" spans="2:16">
      <c r="B72" s="524" t="s">
        <v>82</v>
      </c>
      <c r="C72" s="524"/>
      <c r="D72" s="241">
        <f>SUM(D66:D71)</f>
        <v>830066.88</v>
      </c>
      <c r="E72" s="241">
        <f t="shared" ref="E72:O72" si="20">SUM(E66:E71)</f>
        <v>835180.62000000011</v>
      </c>
      <c r="F72" s="241">
        <f t="shared" si="20"/>
        <v>856306.95000000007</v>
      </c>
      <c r="G72" s="241">
        <f t="shared" si="20"/>
        <v>818697.20000000007</v>
      </c>
      <c r="H72" s="241">
        <f t="shared" si="20"/>
        <v>852014.4</v>
      </c>
      <c r="I72" s="241">
        <f t="shared" si="20"/>
        <v>817755.71000000008</v>
      </c>
      <c r="J72" s="241">
        <f t="shared" si="20"/>
        <v>816165.1100000001</v>
      </c>
      <c r="K72" s="241">
        <f t="shared" si="20"/>
        <v>853344.16</v>
      </c>
      <c r="L72" s="241">
        <f t="shared" si="20"/>
        <v>875449.99</v>
      </c>
      <c r="M72" s="241">
        <f t="shared" si="20"/>
        <v>897129.63000000012</v>
      </c>
      <c r="N72" s="241">
        <f t="shared" si="20"/>
        <v>928388.06</v>
      </c>
      <c r="O72" s="241">
        <f t="shared" si="20"/>
        <v>888634.42999999993</v>
      </c>
      <c r="P72" s="241">
        <f>SUM(D72:O72)</f>
        <v>10269133.140000002</v>
      </c>
    </row>
    <row r="73" spans="2:16">
      <c r="B73" s="527" t="s">
        <v>50</v>
      </c>
      <c r="C73" s="239" t="s">
        <v>83</v>
      </c>
      <c r="D73" s="242">
        <v>43815.8</v>
      </c>
      <c r="E73" s="242">
        <v>42650.2</v>
      </c>
      <c r="F73" s="242">
        <v>43677.36</v>
      </c>
      <c r="G73" s="242">
        <v>44245.599999999999</v>
      </c>
      <c r="H73" s="242">
        <v>44614.75</v>
      </c>
      <c r="I73" s="242">
        <v>43125.3</v>
      </c>
      <c r="J73" s="242">
        <v>43509.599999999999</v>
      </c>
      <c r="K73" s="242">
        <v>42396.52</v>
      </c>
      <c r="L73" s="242">
        <v>42491</v>
      </c>
      <c r="M73" s="242">
        <v>41771.769999999997</v>
      </c>
      <c r="N73" s="242">
        <v>43729.8</v>
      </c>
      <c r="O73" s="242">
        <v>44157.95</v>
      </c>
      <c r="P73" s="243">
        <f t="shared" si="19"/>
        <v>520185.65</v>
      </c>
    </row>
    <row r="74" spans="2:16">
      <c r="B74" s="527"/>
      <c r="C74" s="239" t="s">
        <v>84</v>
      </c>
      <c r="D74" s="242">
        <v>43683.1</v>
      </c>
      <c r="E74" s="242">
        <v>44025.5</v>
      </c>
      <c r="F74" s="242">
        <v>43534.400000000001</v>
      </c>
      <c r="G74" s="242">
        <v>43869.8</v>
      </c>
      <c r="H74" s="242">
        <v>44692.9</v>
      </c>
      <c r="I74" s="242">
        <v>43859.7</v>
      </c>
      <c r="J74" s="242">
        <v>44239.5</v>
      </c>
      <c r="K74" s="242">
        <v>44242.2</v>
      </c>
      <c r="L74" s="242">
        <v>44234.2</v>
      </c>
      <c r="M74" s="242">
        <v>43555.199999999997</v>
      </c>
      <c r="N74" s="242">
        <v>44132.800000000003</v>
      </c>
      <c r="O74" s="242">
        <v>43979.4</v>
      </c>
      <c r="P74" s="243">
        <f t="shared" si="19"/>
        <v>528048.69999999995</v>
      </c>
    </row>
    <row r="75" spans="2:16">
      <c r="B75" s="527"/>
      <c r="C75" s="239" t="s">
        <v>85</v>
      </c>
      <c r="D75" s="242">
        <v>41353</v>
      </c>
      <c r="E75" s="242">
        <v>42096.4</v>
      </c>
      <c r="F75" s="242">
        <v>43126.71</v>
      </c>
      <c r="G75" s="242">
        <v>41174.639999999999</v>
      </c>
      <c r="H75" s="242">
        <v>42511.8</v>
      </c>
      <c r="I75" s="242">
        <v>42283.4</v>
      </c>
      <c r="J75" s="242">
        <v>42180.1</v>
      </c>
      <c r="K75" s="242">
        <v>43940.2</v>
      </c>
      <c r="L75" s="242">
        <v>43119.7</v>
      </c>
      <c r="M75" s="242">
        <v>43634.2</v>
      </c>
      <c r="N75" s="242">
        <v>42910.6</v>
      </c>
      <c r="O75" s="242">
        <v>40702.9</v>
      </c>
      <c r="P75" s="243">
        <f t="shared" si="19"/>
        <v>509033.65</v>
      </c>
    </row>
    <row r="76" spans="2:16">
      <c r="B76" s="527"/>
      <c r="C76" s="239" t="s">
        <v>86</v>
      </c>
      <c r="D76" s="242">
        <v>222129.02</v>
      </c>
      <c r="E76" s="242">
        <v>235625.26</v>
      </c>
      <c r="F76" s="242">
        <v>230967.99</v>
      </c>
      <c r="G76" s="242">
        <v>226238.8</v>
      </c>
      <c r="H76" s="242">
        <v>230587.8</v>
      </c>
      <c r="I76" s="242">
        <v>227644.3</v>
      </c>
      <c r="J76" s="242">
        <v>230463.56</v>
      </c>
      <c r="K76" s="242">
        <v>236293.2</v>
      </c>
      <c r="L76" s="242">
        <v>237973.25</v>
      </c>
      <c r="M76" s="242">
        <v>242969.4</v>
      </c>
      <c r="N76" s="242">
        <v>243080.5</v>
      </c>
      <c r="O76" s="242">
        <v>225566.52</v>
      </c>
      <c r="P76" s="243">
        <f t="shared" si="19"/>
        <v>2789539.6</v>
      </c>
    </row>
    <row r="77" spans="2:16">
      <c r="B77" s="527"/>
      <c r="C77" s="239" t="s">
        <v>87</v>
      </c>
      <c r="D77" s="242">
        <v>749648.47</v>
      </c>
      <c r="E77" s="242">
        <v>829789.78</v>
      </c>
      <c r="F77" s="242">
        <v>830831.12</v>
      </c>
      <c r="G77" s="242">
        <v>909175.19</v>
      </c>
      <c r="H77" s="242">
        <v>911514.24</v>
      </c>
      <c r="I77" s="242">
        <v>887991.3</v>
      </c>
      <c r="J77" s="242">
        <v>902313.65</v>
      </c>
      <c r="K77" s="242">
        <v>953083.59</v>
      </c>
      <c r="L77" s="242">
        <v>931971.83</v>
      </c>
      <c r="M77" s="242">
        <v>936545.39</v>
      </c>
      <c r="N77" s="242">
        <v>899670.87</v>
      </c>
      <c r="O77" s="242">
        <v>865791.31</v>
      </c>
      <c r="P77" s="243">
        <f t="shared" si="19"/>
        <v>10608326.74</v>
      </c>
    </row>
    <row r="78" spans="2:16">
      <c r="B78" s="524" t="s">
        <v>82</v>
      </c>
      <c r="C78" s="524"/>
      <c r="D78" s="241">
        <f>SUM(D73:D77)</f>
        <v>1100629.3899999999</v>
      </c>
      <c r="E78" s="241">
        <f t="shared" ref="E78:O78" si="21">SUM(E73:E77)</f>
        <v>1194187.1400000001</v>
      </c>
      <c r="F78" s="241">
        <f t="shared" si="21"/>
        <v>1192137.58</v>
      </c>
      <c r="G78" s="241">
        <f t="shared" si="21"/>
        <v>1264704.0299999998</v>
      </c>
      <c r="H78" s="241">
        <f t="shared" si="21"/>
        <v>1273921.49</v>
      </c>
      <c r="I78" s="241">
        <f t="shared" si="21"/>
        <v>1244904</v>
      </c>
      <c r="J78" s="241">
        <f t="shared" si="21"/>
        <v>1262706.4100000001</v>
      </c>
      <c r="K78" s="241">
        <f t="shared" si="21"/>
        <v>1319955.71</v>
      </c>
      <c r="L78" s="241">
        <f t="shared" si="21"/>
        <v>1299789.98</v>
      </c>
      <c r="M78" s="241">
        <f t="shared" si="21"/>
        <v>1308475.96</v>
      </c>
      <c r="N78" s="241">
        <f t="shared" si="21"/>
        <v>1273524.57</v>
      </c>
      <c r="O78" s="241">
        <f t="shared" si="21"/>
        <v>1220198.08</v>
      </c>
      <c r="P78" s="241">
        <f>SUM(D78:O78)</f>
        <v>14955134.340000002</v>
      </c>
    </row>
    <row r="79" spans="2:16">
      <c r="B79" s="527" t="s">
        <v>51</v>
      </c>
      <c r="C79" s="239" t="s">
        <v>83</v>
      </c>
      <c r="D79" s="242">
        <v>376.9</v>
      </c>
      <c r="E79" s="242">
        <v>392</v>
      </c>
      <c r="F79" s="242">
        <v>391.7</v>
      </c>
      <c r="G79" s="242">
        <v>381.1</v>
      </c>
      <c r="H79" s="242">
        <v>381.6</v>
      </c>
      <c r="I79" s="242">
        <v>353.5</v>
      </c>
      <c r="J79" s="242">
        <v>371.2</v>
      </c>
      <c r="K79" s="242">
        <v>365.4</v>
      </c>
      <c r="L79" s="242">
        <v>395.8</v>
      </c>
      <c r="M79" s="242">
        <v>360.9</v>
      </c>
      <c r="N79" s="242">
        <v>380</v>
      </c>
      <c r="O79" s="242">
        <v>417.8</v>
      </c>
      <c r="P79" s="243">
        <f t="shared" si="19"/>
        <v>4567.9000000000005</v>
      </c>
    </row>
    <row r="80" spans="2:16">
      <c r="B80" s="527"/>
      <c r="C80" s="239" t="s">
        <v>84</v>
      </c>
      <c r="D80" s="242">
        <v>484.6</v>
      </c>
      <c r="E80" s="242">
        <v>507.6</v>
      </c>
      <c r="F80" s="242">
        <v>439.7</v>
      </c>
      <c r="G80" s="242">
        <v>538</v>
      </c>
      <c r="H80" s="242">
        <v>498</v>
      </c>
      <c r="I80" s="242">
        <v>567</v>
      </c>
      <c r="J80" s="242">
        <v>460</v>
      </c>
      <c r="K80" s="242">
        <v>519.5</v>
      </c>
      <c r="L80" s="242">
        <v>511</v>
      </c>
      <c r="M80" s="242">
        <v>520.6</v>
      </c>
      <c r="N80" s="242">
        <v>568.20000000000005</v>
      </c>
      <c r="O80" s="242">
        <v>624.5</v>
      </c>
      <c r="P80" s="243">
        <f t="shared" si="19"/>
        <v>6238.7</v>
      </c>
    </row>
    <row r="81" spans="2:18">
      <c r="B81" s="527"/>
      <c r="C81" s="239" t="s">
        <v>85</v>
      </c>
      <c r="D81" s="242">
        <v>632.6</v>
      </c>
      <c r="E81" s="242">
        <v>669.79</v>
      </c>
      <c r="F81" s="242">
        <v>673.5</v>
      </c>
      <c r="G81" s="242">
        <v>584.1</v>
      </c>
      <c r="H81" s="242">
        <v>758.8</v>
      </c>
      <c r="I81" s="242">
        <v>740.66</v>
      </c>
      <c r="J81" s="242">
        <v>723.6</v>
      </c>
      <c r="K81" s="242">
        <v>678.8</v>
      </c>
      <c r="L81" s="242">
        <v>726.4</v>
      </c>
      <c r="M81" s="242">
        <v>797.67</v>
      </c>
      <c r="N81" s="242">
        <v>665</v>
      </c>
      <c r="O81" s="242">
        <v>592</v>
      </c>
      <c r="P81" s="243">
        <f t="shared" si="19"/>
        <v>8242.92</v>
      </c>
    </row>
    <row r="82" spans="2:18">
      <c r="B82" s="527"/>
      <c r="C82" s="239" t="s">
        <v>86</v>
      </c>
      <c r="D82" s="242">
        <v>5417.95</v>
      </c>
      <c r="E82" s="242">
        <v>5192.8100000000004</v>
      </c>
      <c r="F82" s="242">
        <v>5313.25</v>
      </c>
      <c r="G82" s="242">
        <v>5579.88</v>
      </c>
      <c r="H82" s="242">
        <v>5478.91</v>
      </c>
      <c r="I82" s="242">
        <v>5536.5</v>
      </c>
      <c r="J82" s="242">
        <v>5764.21</v>
      </c>
      <c r="K82" s="242">
        <v>5868.55</v>
      </c>
      <c r="L82" s="242">
        <v>5757.45</v>
      </c>
      <c r="M82" s="242">
        <v>5729.2</v>
      </c>
      <c r="N82" s="242">
        <v>5469.76</v>
      </c>
      <c r="O82" s="242">
        <v>5754.09</v>
      </c>
      <c r="P82" s="243">
        <f t="shared" si="19"/>
        <v>66862.559999999998</v>
      </c>
    </row>
    <row r="83" spans="2:18">
      <c r="B83" s="527"/>
      <c r="C83" s="239" t="s">
        <v>87</v>
      </c>
      <c r="D83" s="242">
        <v>44416.61</v>
      </c>
      <c r="E83" s="242">
        <v>47705.440000000002</v>
      </c>
      <c r="F83" s="242">
        <v>45440.7</v>
      </c>
      <c r="G83" s="242">
        <v>45203.98</v>
      </c>
      <c r="H83" s="242">
        <v>45216.33</v>
      </c>
      <c r="I83" s="242">
        <v>47545.69</v>
      </c>
      <c r="J83" s="242">
        <v>50107.96</v>
      </c>
      <c r="K83" s="242">
        <v>45427.82</v>
      </c>
      <c r="L83" s="242">
        <v>203067.83</v>
      </c>
      <c r="M83" s="242">
        <v>49973.35</v>
      </c>
      <c r="N83" s="242">
        <v>55602.400000000001</v>
      </c>
      <c r="O83" s="242">
        <v>37205.910000000003</v>
      </c>
      <c r="P83" s="243">
        <f t="shared" si="19"/>
        <v>716914.02</v>
      </c>
    </row>
    <row r="84" spans="2:18">
      <c r="B84" s="524" t="s">
        <v>82</v>
      </c>
      <c r="C84" s="524"/>
      <c r="D84" s="241">
        <f>SUM(D79:D83)</f>
        <v>51328.66</v>
      </c>
      <c r="E84" s="241">
        <f t="shared" ref="E84:O84" si="22">SUM(E79:E83)</f>
        <v>54467.64</v>
      </c>
      <c r="F84" s="241">
        <f t="shared" si="22"/>
        <v>52258.85</v>
      </c>
      <c r="G84" s="241">
        <f t="shared" si="22"/>
        <v>52287.060000000005</v>
      </c>
      <c r="H84" s="241">
        <f t="shared" si="22"/>
        <v>52333.64</v>
      </c>
      <c r="I84" s="241">
        <f t="shared" si="22"/>
        <v>54743.350000000006</v>
      </c>
      <c r="J84" s="241">
        <f t="shared" si="22"/>
        <v>57426.97</v>
      </c>
      <c r="K84" s="241">
        <f t="shared" si="22"/>
        <v>52860.07</v>
      </c>
      <c r="L84" s="241">
        <f t="shared" si="22"/>
        <v>210458.47999999998</v>
      </c>
      <c r="M84" s="241">
        <f t="shared" si="22"/>
        <v>57381.72</v>
      </c>
      <c r="N84" s="241">
        <f t="shared" si="22"/>
        <v>62685.36</v>
      </c>
      <c r="O84" s="241">
        <f t="shared" si="22"/>
        <v>44594.3</v>
      </c>
      <c r="P84" s="241">
        <f>SUM(D84:O84)</f>
        <v>802826.1</v>
      </c>
    </row>
    <row r="85" spans="2:18">
      <c r="B85" s="527" t="s">
        <v>88</v>
      </c>
      <c r="C85" s="239" t="s">
        <v>83</v>
      </c>
      <c r="D85" s="242">
        <v>394.8</v>
      </c>
      <c r="E85" s="242">
        <v>433.2</v>
      </c>
      <c r="F85" s="242">
        <v>340.4</v>
      </c>
      <c r="G85" s="242">
        <v>364.7</v>
      </c>
      <c r="H85" s="242">
        <v>377.2</v>
      </c>
      <c r="I85" s="242">
        <v>364.6</v>
      </c>
      <c r="J85" s="242">
        <v>315.60000000000002</v>
      </c>
      <c r="K85" s="242">
        <v>310.2</v>
      </c>
      <c r="L85" s="242">
        <v>278.8</v>
      </c>
      <c r="M85" s="242">
        <v>288.3</v>
      </c>
      <c r="N85" s="242">
        <v>299.3</v>
      </c>
      <c r="O85" s="242">
        <v>377.6</v>
      </c>
      <c r="P85" s="243">
        <f t="shared" si="19"/>
        <v>4144.7000000000007</v>
      </c>
    </row>
    <row r="86" spans="2:18" customFormat="1">
      <c r="B86" s="527"/>
      <c r="C86" s="239" t="s">
        <v>84</v>
      </c>
      <c r="D86" s="242">
        <v>609.20000000000005</v>
      </c>
      <c r="E86" s="242">
        <v>494</v>
      </c>
      <c r="F86" s="242">
        <v>535.79999999999995</v>
      </c>
      <c r="G86" s="242">
        <v>507.4</v>
      </c>
      <c r="H86" s="242">
        <v>591.70000000000005</v>
      </c>
      <c r="I86" s="242">
        <v>509.9</v>
      </c>
      <c r="J86" s="242">
        <v>610.20000000000005</v>
      </c>
      <c r="K86" s="242">
        <v>484.2</v>
      </c>
      <c r="L86" s="242">
        <v>453.2</v>
      </c>
      <c r="M86" s="242">
        <v>438.2</v>
      </c>
      <c r="N86" s="242">
        <v>538.20000000000005</v>
      </c>
      <c r="O86" s="242">
        <v>636.79999999999995</v>
      </c>
      <c r="P86" s="243">
        <f t="shared" si="19"/>
        <v>6408.8</v>
      </c>
    </row>
    <row r="87" spans="2:18" customFormat="1">
      <c r="B87" s="527"/>
      <c r="C87" s="239" t="s">
        <v>85</v>
      </c>
      <c r="D87" s="242">
        <v>860.8</v>
      </c>
      <c r="E87" s="242">
        <v>727.4</v>
      </c>
      <c r="F87" s="242">
        <v>678</v>
      </c>
      <c r="G87" s="242">
        <v>902.4</v>
      </c>
      <c r="H87" s="242">
        <v>627</v>
      </c>
      <c r="I87" s="242">
        <v>757</v>
      </c>
      <c r="J87" s="242">
        <v>665</v>
      </c>
      <c r="K87" s="242">
        <v>645</v>
      </c>
      <c r="L87" s="242">
        <v>752</v>
      </c>
      <c r="M87" s="242">
        <v>616</v>
      </c>
      <c r="N87" s="242">
        <v>623</v>
      </c>
      <c r="O87" s="242">
        <v>891.4</v>
      </c>
      <c r="P87" s="243">
        <f t="shared" si="19"/>
        <v>8745</v>
      </c>
    </row>
    <row r="88" spans="2:18" customFormat="1">
      <c r="B88" s="527"/>
      <c r="C88" s="239" t="s">
        <v>86</v>
      </c>
      <c r="D88" s="242">
        <v>11599</v>
      </c>
      <c r="E88" s="242">
        <v>12337.2</v>
      </c>
      <c r="F88" s="242">
        <v>10787</v>
      </c>
      <c r="G88" s="242">
        <v>10402.200000000001</v>
      </c>
      <c r="H88" s="242">
        <v>10445.4</v>
      </c>
      <c r="I88" s="242">
        <v>10342.200000000001</v>
      </c>
      <c r="J88" s="242">
        <v>11086.2</v>
      </c>
      <c r="K88" s="242">
        <v>10864.8</v>
      </c>
      <c r="L88" s="242">
        <v>10293.1</v>
      </c>
      <c r="M88" s="242">
        <v>10997.4</v>
      </c>
      <c r="N88" s="242">
        <v>10418.4</v>
      </c>
      <c r="O88" s="242">
        <v>10976.3</v>
      </c>
      <c r="P88" s="243">
        <f t="shared" si="19"/>
        <v>130549.2</v>
      </c>
    </row>
    <row r="89" spans="2:18" customFormat="1">
      <c r="B89" s="527"/>
      <c r="C89" s="239" t="s">
        <v>87</v>
      </c>
      <c r="D89" s="242">
        <v>692246.9</v>
      </c>
      <c r="E89" s="242">
        <v>710828.5</v>
      </c>
      <c r="F89" s="242">
        <v>796646.15</v>
      </c>
      <c r="G89" s="242">
        <v>745284.15</v>
      </c>
      <c r="H89" s="242">
        <v>790325.51</v>
      </c>
      <c r="I89" s="242">
        <v>825959.3</v>
      </c>
      <c r="J89" s="242">
        <v>762744</v>
      </c>
      <c r="K89" s="242">
        <v>823625.82</v>
      </c>
      <c r="L89" s="242">
        <v>884305.03</v>
      </c>
      <c r="M89" s="242">
        <v>914530.72</v>
      </c>
      <c r="N89" s="242">
        <v>907560.12</v>
      </c>
      <c r="O89" s="242">
        <v>770294.23</v>
      </c>
      <c r="P89" s="243">
        <f t="shared" si="19"/>
        <v>9624350.4299999997</v>
      </c>
      <c r="Q89" s="86"/>
    </row>
    <row r="90" spans="2:18" customFormat="1">
      <c r="B90" s="524" t="s">
        <v>82</v>
      </c>
      <c r="C90" s="524"/>
      <c r="D90" s="241">
        <f t="shared" ref="D90:O90" si="23">SUM(D85:D89)</f>
        <v>705710.70000000007</v>
      </c>
      <c r="E90" s="241">
        <f t="shared" si="23"/>
        <v>724820.3</v>
      </c>
      <c r="F90" s="241">
        <f t="shared" si="23"/>
        <v>808987.35</v>
      </c>
      <c r="G90" s="241">
        <f t="shared" si="23"/>
        <v>757460.85</v>
      </c>
      <c r="H90" s="241">
        <f t="shared" si="23"/>
        <v>802366.81</v>
      </c>
      <c r="I90" s="241">
        <f t="shared" si="23"/>
        <v>837933</v>
      </c>
      <c r="J90" s="241">
        <f t="shared" si="23"/>
        <v>775421</v>
      </c>
      <c r="K90" s="241">
        <f t="shared" si="23"/>
        <v>835930.0199999999</v>
      </c>
      <c r="L90" s="241">
        <f t="shared" si="23"/>
        <v>896082.13</v>
      </c>
      <c r="M90" s="241">
        <f t="shared" si="23"/>
        <v>926870.62</v>
      </c>
      <c r="N90" s="241">
        <f t="shared" si="23"/>
        <v>919439.02</v>
      </c>
      <c r="O90" s="241">
        <f t="shared" si="23"/>
        <v>783176.33</v>
      </c>
      <c r="P90" s="241">
        <f>SUM(D90:O90)</f>
        <v>9774198.129999999</v>
      </c>
      <c r="Q90" s="29"/>
    </row>
    <row r="91" spans="2:18" customFormat="1">
      <c r="B91" s="246" t="s">
        <v>95</v>
      </c>
      <c r="C91" s="239"/>
      <c r="D91" s="242">
        <v>23181</v>
      </c>
      <c r="E91" s="242">
        <v>25845</v>
      </c>
      <c r="F91" s="242">
        <v>0</v>
      </c>
      <c r="G91" s="242">
        <v>21285</v>
      </c>
      <c r="H91" s="242">
        <v>28117</v>
      </c>
      <c r="I91" s="242">
        <v>25832</v>
      </c>
      <c r="J91" s="242">
        <v>35130</v>
      </c>
      <c r="K91" s="242">
        <v>16475</v>
      </c>
      <c r="L91" s="242">
        <v>21846</v>
      </c>
      <c r="M91" s="242">
        <v>2249151</v>
      </c>
      <c r="N91" s="242">
        <v>41197</v>
      </c>
      <c r="O91" s="242">
        <v>32930</v>
      </c>
      <c r="P91" s="242">
        <f>SUM(D91:O91)</f>
        <v>2520989</v>
      </c>
      <c r="Q91" s="29"/>
    </row>
    <row r="92" spans="2:18" customFormat="1">
      <c r="B92" s="524" t="s">
        <v>89</v>
      </c>
      <c r="C92" s="524"/>
      <c r="D92" s="241">
        <f>D65+D72+D78+D84+D90+D91</f>
        <v>11855097.76</v>
      </c>
      <c r="E92" s="241">
        <f t="shared" ref="E92:O92" si="24">E65+E72+E78+E84+E90+E91</f>
        <v>12155840.600000001</v>
      </c>
      <c r="F92" s="241">
        <f t="shared" si="24"/>
        <v>12418258.700000001</v>
      </c>
      <c r="G92" s="241">
        <f t="shared" si="24"/>
        <v>11874037.66</v>
      </c>
      <c r="H92" s="241">
        <f t="shared" si="24"/>
        <v>12429711.060000001</v>
      </c>
      <c r="I92" s="241">
        <f t="shared" si="24"/>
        <v>12073715.960000003</v>
      </c>
      <c r="J92" s="241">
        <f t="shared" si="24"/>
        <v>12172122.879999999</v>
      </c>
      <c r="K92" s="241">
        <f t="shared" si="24"/>
        <v>12682770.759999998</v>
      </c>
      <c r="L92" s="241">
        <f t="shared" si="24"/>
        <v>13073226.23</v>
      </c>
      <c r="M92" s="241">
        <f t="shared" si="24"/>
        <v>15380665.810000002</v>
      </c>
      <c r="N92" s="241">
        <f t="shared" si="24"/>
        <v>13015290.279999999</v>
      </c>
      <c r="O92" s="241">
        <f t="shared" si="24"/>
        <v>12024004.450000001</v>
      </c>
      <c r="P92" s="241">
        <f>SUM(D92:O92)</f>
        <v>151154742.14999998</v>
      </c>
      <c r="Q92" s="29"/>
      <c r="R92" s="26"/>
    </row>
    <row r="93" spans="2:18" customFormat="1">
      <c r="B93" s="95" t="s">
        <v>32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6"/>
    </row>
    <row r="94" spans="2:18" customFormat="1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6"/>
    </row>
    <row r="95" spans="2:18" customFormat="1" ht="18">
      <c r="B95" s="504" t="s">
        <v>96</v>
      </c>
      <c r="C95" s="504"/>
      <c r="D95" s="504"/>
      <c r="E95" s="504"/>
      <c r="F95" s="504"/>
      <c r="G95" s="504"/>
      <c r="H95" s="504"/>
      <c r="I95" s="504"/>
      <c r="J95" s="504"/>
      <c r="K95" s="504"/>
      <c r="L95" s="504"/>
      <c r="M95" s="504"/>
      <c r="N95" s="504"/>
      <c r="O95" s="504"/>
      <c r="P95" s="504"/>
      <c r="Q95" s="29"/>
      <c r="R95" s="26"/>
    </row>
    <row r="96" spans="2:18" customFormat="1">
      <c r="B96" s="237" t="s">
        <v>74</v>
      </c>
      <c r="C96" s="237" t="s">
        <v>75</v>
      </c>
      <c r="D96" s="238">
        <f t="shared" ref="D96:O96" si="25">D17</f>
        <v>45658</v>
      </c>
      <c r="E96" s="238">
        <f t="shared" si="25"/>
        <v>45689</v>
      </c>
      <c r="F96" s="238">
        <f t="shared" si="25"/>
        <v>45717</v>
      </c>
      <c r="G96" s="238">
        <f t="shared" si="25"/>
        <v>45748</v>
      </c>
      <c r="H96" s="238">
        <f t="shared" si="25"/>
        <v>45778</v>
      </c>
      <c r="I96" s="238">
        <f t="shared" si="25"/>
        <v>45809</v>
      </c>
      <c r="J96" s="238">
        <f t="shared" si="25"/>
        <v>45839</v>
      </c>
      <c r="K96" s="238">
        <f t="shared" si="25"/>
        <v>45870</v>
      </c>
      <c r="L96" s="238">
        <f t="shared" si="25"/>
        <v>45901</v>
      </c>
      <c r="M96" s="238">
        <f t="shared" si="25"/>
        <v>45931</v>
      </c>
      <c r="N96" s="238">
        <f t="shared" si="25"/>
        <v>45962</v>
      </c>
      <c r="O96" s="238">
        <f t="shared" si="25"/>
        <v>45992</v>
      </c>
      <c r="P96" s="238" t="s">
        <v>72</v>
      </c>
      <c r="Q96" s="29"/>
      <c r="R96" s="26"/>
    </row>
    <row r="97" spans="2:17" customFormat="1">
      <c r="B97" s="525" t="s">
        <v>48</v>
      </c>
      <c r="C97" s="239" t="s">
        <v>76</v>
      </c>
      <c r="D97" s="240">
        <f t="shared" ref="D97:O97" si="26">+D18+D59</f>
        <v>3094976.3</v>
      </c>
      <c r="E97" s="240">
        <f t="shared" si="26"/>
        <v>3005852.05</v>
      </c>
      <c r="F97" s="240">
        <f t="shared" si="26"/>
        <v>2954608.3600000003</v>
      </c>
      <c r="G97" s="240">
        <f t="shared" si="26"/>
        <v>3227971.9299999997</v>
      </c>
      <c r="H97" s="240">
        <f t="shared" si="26"/>
        <v>3032915.7800000003</v>
      </c>
      <c r="I97" s="240">
        <f t="shared" si="26"/>
        <v>3244766.54</v>
      </c>
      <c r="J97" s="240">
        <f t="shared" si="26"/>
        <v>3207622.1</v>
      </c>
      <c r="K97" s="240">
        <f t="shared" si="26"/>
        <v>3028787.4299999997</v>
      </c>
      <c r="L97" s="240">
        <f t="shared" si="26"/>
        <v>2965950.15</v>
      </c>
      <c r="M97" s="240">
        <f t="shared" si="26"/>
        <v>2823704.9299999997</v>
      </c>
      <c r="N97" s="240">
        <f t="shared" si="26"/>
        <v>2871880.19</v>
      </c>
      <c r="O97" s="240">
        <f t="shared" si="26"/>
        <v>3276060.69</v>
      </c>
      <c r="P97" s="240">
        <f>SUM(D97:O97)</f>
        <v>36735096.450000003</v>
      </c>
      <c r="Q97" s="29"/>
    </row>
    <row r="98" spans="2:17" customFormat="1">
      <c r="B98" s="525"/>
      <c r="C98" s="239" t="s">
        <v>77</v>
      </c>
      <c r="D98" s="240">
        <f t="shared" ref="D98:O98" si="27">+D19+D60</f>
        <v>7459846.7999999998</v>
      </c>
      <c r="E98" s="240">
        <f t="shared" si="27"/>
        <v>7503008.3499999996</v>
      </c>
      <c r="F98" s="240">
        <f t="shared" si="27"/>
        <v>7549432.54</v>
      </c>
      <c r="G98" s="240">
        <f t="shared" si="27"/>
        <v>7513610.1099999994</v>
      </c>
      <c r="H98" s="240">
        <f t="shared" si="27"/>
        <v>7448852.0999999996</v>
      </c>
      <c r="I98" s="240">
        <f t="shared" si="27"/>
        <v>7361152.21</v>
      </c>
      <c r="J98" s="240">
        <f t="shared" si="27"/>
        <v>7366313.4000000004</v>
      </c>
      <c r="K98" s="240">
        <f t="shared" si="27"/>
        <v>7454462.0299999993</v>
      </c>
      <c r="L98" s="240">
        <f t="shared" si="27"/>
        <v>7427688.7999999998</v>
      </c>
      <c r="M98" s="240">
        <f t="shared" si="27"/>
        <v>7575437.5999999996</v>
      </c>
      <c r="N98" s="240">
        <f t="shared" si="27"/>
        <v>7598331.9000000004</v>
      </c>
      <c r="O98" s="240">
        <f t="shared" si="27"/>
        <v>7323716.8200000003</v>
      </c>
      <c r="P98" s="240">
        <f t="shared" ref="P98:P127" si="28">SUM(D98:O98)</f>
        <v>89581852.659999996</v>
      </c>
      <c r="Q98" s="29"/>
    </row>
    <row r="99" spans="2:17" customFormat="1">
      <c r="B99" s="525"/>
      <c r="C99" s="239" t="s">
        <v>78</v>
      </c>
      <c r="D99" s="240">
        <f t="shared" ref="D99:O99" si="29">+D20+D61</f>
        <v>5261551.43</v>
      </c>
      <c r="E99" s="240">
        <f t="shared" si="29"/>
        <v>5466186.0899999999</v>
      </c>
      <c r="F99" s="240">
        <f t="shared" si="29"/>
        <v>5608798.4700000007</v>
      </c>
      <c r="G99" s="240">
        <f t="shared" si="29"/>
        <v>4952137.7</v>
      </c>
      <c r="H99" s="240">
        <f t="shared" si="29"/>
        <v>5536068.2999999998</v>
      </c>
      <c r="I99" s="240">
        <f t="shared" si="29"/>
        <v>4962513.1500000004</v>
      </c>
      <c r="J99" s="240">
        <f t="shared" si="29"/>
        <v>5159306.13</v>
      </c>
      <c r="K99" s="240">
        <f t="shared" si="29"/>
        <v>5505511.7000000002</v>
      </c>
      <c r="L99" s="240">
        <f t="shared" si="29"/>
        <v>5668703.9000000004</v>
      </c>
      <c r="M99" s="240">
        <f t="shared" si="29"/>
        <v>5901572.7999999998</v>
      </c>
      <c r="N99" s="240">
        <f t="shared" si="29"/>
        <v>5931152.29</v>
      </c>
      <c r="O99" s="240">
        <f t="shared" si="29"/>
        <v>5035723.5999999996</v>
      </c>
      <c r="P99" s="240">
        <f t="shared" si="28"/>
        <v>64989225.560000002</v>
      </c>
      <c r="Q99" s="29"/>
    </row>
    <row r="100" spans="2:17" customFormat="1">
      <c r="B100" s="525"/>
      <c r="C100" s="239" t="s">
        <v>79</v>
      </c>
      <c r="D100" s="240">
        <f t="shared" ref="D100:O100" si="30">+D21+D62</f>
        <v>2366647.5</v>
      </c>
      <c r="E100" s="240">
        <f t="shared" si="30"/>
        <v>2456602.91</v>
      </c>
      <c r="F100" s="240">
        <f t="shared" si="30"/>
        <v>2603835.7199999997</v>
      </c>
      <c r="G100" s="240">
        <f t="shared" si="30"/>
        <v>2148073.1800000002</v>
      </c>
      <c r="H100" s="240">
        <f t="shared" si="30"/>
        <v>2569086.7400000002</v>
      </c>
      <c r="I100" s="240">
        <f t="shared" si="30"/>
        <v>2326960.7999999998</v>
      </c>
      <c r="J100" s="240">
        <f t="shared" si="30"/>
        <v>2384004</v>
      </c>
      <c r="K100" s="240">
        <f t="shared" si="30"/>
        <v>2711674.9</v>
      </c>
      <c r="L100" s="240">
        <f t="shared" si="30"/>
        <v>2874874.4</v>
      </c>
      <c r="M100" s="240">
        <f t="shared" si="30"/>
        <v>2963527.19</v>
      </c>
      <c r="N100" s="240">
        <f t="shared" si="30"/>
        <v>2844283.2</v>
      </c>
      <c r="O100" s="240">
        <f t="shared" si="30"/>
        <v>2235822.4</v>
      </c>
      <c r="P100" s="240">
        <f t="shared" si="28"/>
        <v>30485392.939999998</v>
      </c>
    </row>
    <row r="101" spans="2:17" customFormat="1">
      <c r="B101" s="525"/>
      <c r="C101" s="239" t="s">
        <v>80</v>
      </c>
      <c r="D101" s="240">
        <f t="shared" ref="D101:O101" si="31">+D22+D63</f>
        <v>806843</v>
      </c>
      <c r="E101" s="240">
        <f t="shared" si="31"/>
        <v>835674.5</v>
      </c>
      <c r="F101" s="240">
        <f t="shared" si="31"/>
        <v>887342.5</v>
      </c>
      <c r="G101" s="240">
        <f t="shared" si="31"/>
        <v>741400.8</v>
      </c>
      <c r="H101" s="240">
        <f t="shared" si="31"/>
        <v>887740.7</v>
      </c>
      <c r="I101" s="240">
        <f t="shared" si="31"/>
        <v>885343.9</v>
      </c>
      <c r="J101" s="240">
        <f t="shared" si="31"/>
        <v>929991.87</v>
      </c>
      <c r="K101" s="240">
        <f t="shared" si="31"/>
        <v>1059207.2</v>
      </c>
      <c r="L101" s="240">
        <f t="shared" si="31"/>
        <v>1126180.7</v>
      </c>
      <c r="M101" s="240">
        <f t="shared" si="31"/>
        <v>1091067.46</v>
      </c>
      <c r="N101" s="240">
        <f t="shared" si="31"/>
        <v>988525.2</v>
      </c>
      <c r="O101" s="240">
        <f t="shared" si="31"/>
        <v>814097.3</v>
      </c>
      <c r="P101" s="240">
        <f t="shared" si="28"/>
        <v>11053415.130000001</v>
      </c>
      <c r="Q101" s="29"/>
    </row>
    <row r="102" spans="2:17" customFormat="1">
      <c r="B102" s="525"/>
      <c r="C102" s="239" t="s">
        <v>81</v>
      </c>
      <c r="D102" s="240">
        <f t="shared" ref="D102:O102" si="32">+D23+D64</f>
        <v>601358.1</v>
      </c>
      <c r="E102" s="240">
        <f t="shared" si="32"/>
        <v>696022</v>
      </c>
      <c r="F102" s="240">
        <f t="shared" si="32"/>
        <v>796872.38</v>
      </c>
      <c r="G102" s="240">
        <f t="shared" si="32"/>
        <v>648082.80000000005</v>
      </c>
      <c r="H102" s="240">
        <f t="shared" si="32"/>
        <v>726980.1</v>
      </c>
      <c r="I102" s="240">
        <f t="shared" si="32"/>
        <v>768934.3</v>
      </c>
      <c r="J102" s="240">
        <f t="shared" si="32"/>
        <v>827018.89</v>
      </c>
      <c r="K102" s="240">
        <f t="shared" si="32"/>
        <v>949342.54</v>
      </c>
      <c r="L102" s="240">
        <f t="shared" si="32"/>
        <v>1024555.7</v>
      </c>
      <c r="M102" s="240">
        <f t="shared" si="32"/>
        <v>1068179.8999999999</v>
      </c>
      <c r="N102" s="240">
        <f t="shared" si="32"/>
        <v>814852.49</v>
      </c>
      <c r="O102" s="240">
        <f t="shared" si="32"/>
        <v>785851.5</v>
      </c>
      <c r="P102" s="240">
        <f t="shared" si="28"/>
        <v>9708050.7000000011</v>
      </c>
      <c r="Q102" s="29"/>
    </row>
    <row r="103" spans="2:17" customFormat="1">
      <c r="B103" s="524" t="s">
        <v>82</v>
      </c>
      <c r="C103" s="524"/>
      <c r="D103" s="241">
        <f>SUM(D97:D102)</f>
        <v>19591223.130000003</v>
      </c>
      <c r="E103" s="241">
        <f t="shared" ref="E103:L103" si="33">SUM(E97:E102)</f>
        <v>19963345.899999999</v>
      </c>
      <c r="F103" s="241">
        <f t="shared" si="33"/>
        <v>20400889.969999999</v>
      </c>
      <c r="G103" s="241">
        <f t="shared" si="33"/>
        <v>19231276.52</v>
      </c>
      <c r="H103" s="241">
        <f t="shared" si="33"/>
        <v>20201643.720000003</v>
      </c>
      <c r="I103" s="241">
        <f t="shared" si="33"/>
        <v>19549670.899999999</v>
      </c>
      <c r="J103" s="241">
        <f t="shared" si="33"/>
        <v>19874256.390000001</v>
      </c>
      <c r="K103" s="241">
        <f t="shared" si="33"/>
        <v>20708985.799999997</v>
      </c>
      <c r="L103" s="241">
        <f t="shared" si="33"/>
        <v>21087953.649999999</v>
      </c>
      <c r="M103" s="241">
        <f>SUM(M97:M102)</f>
        <v>21423489.879999999</v>
      </c>
      <c r="N103" s="241">
        <f t="shared" ref="N103:O103" si="34">SUM(N97:N102)</f>
        <v>21049025.269999996</v>
      </c>
      <c r="O103" s="241">
        <f t="shared" si="34"/>
        <v>19471272.309999999</v>
      </c>
      <c r="P103" s="241">
        <f>SUM(D103:O103)</f>
        <v>242553033.44</v>
      </c>
      <c r="Q103" s="29"/>
    </row>
    <row r="104" spans="2:17" customFormat="1">
      <c r="B104" s="525" t="s">
        <v>49</v>
      </c>
      <c r="C104" s="239" t="s">
        <v>76</v>
      </c>
      <c r="D104" s="240">
        <f t="shared" ref="D104:O104" si="35">+D25+D66</f>
        <v>266571.05</v>
      </c>
      <c r="E104" s="240">
        <f t="shared" si="35"/>
        <v>261866.64</v>
      </c>
      <c r="F104" s="240">
        <f t="shared" si="35"/>
        <v>253971.65</v>
      </c>
      <c r="G104" s="240">
        <f t="shared" si="35"/>
        <v>276334.74</v>
      </c>
      <c r="H104" s="240">
        <f t="shared" si="35"/>
        <v>269535.83</v>
      </c>
      <c r="I104" s="240">
        <f t="shared" si="35"/>
        <v>290761.03000000003</v>
      </c>
      <c r="J104" s="240">
        <f t="shared" si="35"/>
        <v>291499.82</v>
      </c>
      <c r="K104" s="240">
        <f t="shared" si="35"/>
        <v>266462.95</v>
      </c>
      <c r="L104" s="240">
        <f t="shared" si="35"/>
        <v>251314.27000000002</v>
      </c>
      <c r="M104" s="240">
        <f t="shared" si="35"/>
        <v>243877.5</v>
      </c>
      <c r="N104" s="240">
        <f t="shared" si="35"/>
        <v>257954.91999999998</v>
      </c>
      <c r="O104" s="240">
        <f t="shared" si="35"/>
        <v>298000.32</v>
      </c>
      <c r="P104" s="240">
        <f t="shared" si="28"/>
        <v>3228150.72</v>
      </c>
      <c r="Q104" s="29"/>
    </row>
    <row r="105" spans="2:17" customFormat="1">
      <c r="B105" s="525"/>
      <c r="C105" s="239" t="s">
        <v>77</v>
      </c>
      <c r="D105" s="240">
        <f t="shared" ref="D105:O105" si="36">+D26+D67</f>
        <v>650826.81000000006</v>
      </c>
      <c r="E105" s="240">
        <f t="shared" si="36"/>
        <v>663622.99</v>
      </c>
      <c r="F105" s="240">
        <f t="shared" si="36"/>
        <v>675469.61</v>
      </c>
      <c r="G105" s="240">
        <f t="shared" si="36"/>
        <v>672830.21</v>
      </c>
      <c r="H105" s="240">
        <f t="shared" si="36"/>
        <v>678150.11</v>
      </c>
      <c r="I105" s="240">
        <f t="shared" si="36"/>
        <v>679049.12</v>
      </c>
      <c r="J105" s="240">
        <f t="shared" si="36"/>
        <v>659716.83000000007</v>
      </c>
      <c r="K105" s="240">
        <f t="shared" si="36"/>
        <v>667041.47</v>
      </c>
      <c r="L105" s="240">
        <f t="shared" si="36"/>
        <v>678032.05</v>
      </c>
      <c r="M105" s="240">
        <f t="shared" si="36"/>
        <v>664857.65999999992</v>
      </c>
      <c r="N105" s="240">
        <f t="shared" si="36"/>
        <v>692842.95</v>
      </c>
      <c r="O105" s="240">
        <f t="shared" si="36"/>
        <v>693401.61</v>
      </c>
      <c r="P105" s="240">
        <f t="shared" si="28"/>
        <v>8075841.4199999999</v>
      </c>
      <c r="Q105" s="29"/>
    </row>
    <row r="106" spans="2:17" customFormat="1">
      <c r="B106" s="525"/>
      <c r="C106" s="239" t="s">
        <v>78</v>
      </c>
      <c r="D106" s="240">
        <f t="shared" ref="D106:O106" si="37">+D27+D68</f>
        <v>509175.82</v>
      </c>
      <c r="E106" s="240">
        <f t="shared" si="37"/>
        <v>515478.9</v>
      </c>
      <c r="F106" s="240">
        <f t="shared" si="37"/>
        <v>545480.49</v>
      </c>
      <c r="G106" s="240">
        <f t="shared" si="37"/>
        <v>494874.85</v>
      </c>
      <c r="H106" s="240">
        <f t="shared" si="37"/>
        <v>529353.06000000006</v>
      </c>
      <c r="I106" s="240">
        <f t="shared" si="37"/>
        <v>482420.16000000003</v>
      </c>
      <c r="J106" s="240">
        <f t="shared" si="37"/>
        <v>498511.26</v>
      </c>
      <c r="K106" s="240">
        <f t="shared" si="37"/>
        <v>545217.14</v>
      </c>
      <c r="L106" s="240">
        <f t="shared" si="37"/>
        <v>565700.07000000007</v>
      </c>
      <c r="M106" s="240">
        <f t="shared" si="37"/>
        <v>595152.66999999993</v>
      </c>
      <c r="N106" s="240">
        <f t="shared" si="37"/>
        <v>601608.39</v>
      </c>
      <c r="O106" s="240">
        <f t="shared" si="37"/>
        <v>537022.69999999995</v>
      </c>
      <c r="P106" s="240">
        <f t="shared" si="28"/>
        <v>6419995.5099999998</v>
      </c>
      <c r="Q106" s="29"/>
    </row>
    <row r="107" spans="2:17" customFormat="1">
      <c r="B107" s="525"/>
      <c r="C107" s="239" t="s">
        <v>79</v>
      </c>
      <c r="D107" s="240">
        <f t="shared" ref="D107:O107" si="38">+D28+D69</f>
        <v>251738.8</v>
      </c>
      <c r="E107" s="240">
        <f t="shared" si="38"/>
        <v>254818.28999999998</v>
      </c>
      <c r="F107" s="240">
        <f t="shared" si="38"/>
        <v>266554.40000000002</v>
      </c>
      <c r="G107" s="240">
        <f t="shared" si="38"/>
        <v>228706.2</v>
      </c>
      <c r="H107" s="240">
        <f t="shared" si="38"/>
        <v>249634</v>
      </c>
      <c r="I107" s="240">
        <f t="shared" si="38"/>
        <v>211532.4</v>
      </c>
      <c r="J107" s="240">
        <f t="shared" si="38"/>
        <v>221384.8</v>
      </c>
      <c r="K107" s="240">
        <f t="shared" si="38"/>
        <v>264411.40000000002</v>
      </c>
      <c r="L107" s="240">
        <f t="shared" si="38"/>
        <v>287970.2</v>
      </c>
      <c r="M107" s="240">
        <f t="shared" si="38"/>
        <v>313847.2</v>
      </c>
      <c r="N107" s="240">
        <f t="shared" si="38"/>
        <v>318014.8</v>
      </c>
      <c r="O107" s="240">
        <f t="shared" si="38"/>
        <v>266479.2</v>
      </c>
      <c r="P107" s="240">
        <f t="shared" si="28"/>
        <v>3135091.6900000004</v>
      </c>
      <c r="Q107" s="29"/>
    </row>
    <row r="108" spans="2:17" customFormat="1">
      <c r="B108" s="525"/>
      <c r="C108" s="239" t="s">
        <v>80</v>
      </c>
      <c r="D108" s="240">
        <f t="shared" ref="D108:O108" si="39">+D29+D70</f>
        <v>69205</v>
      </c>
      <c r="E108" s="240">
        <f t="shared" si="39"/>
        <v>68959</v>
      </c>
      <c r="F108" s="240">
        <f t="shared" si="39"/>
        <v>68406</v>
      </c>
      <c r="G108" s="240">
        <f t="shared" si="39"/>
        <v>58609.4</v>
      </c>
      <c r="H108" s="240">
        <f t="shared" si="39"/>
        <v>69293.600000000006</v>
      </c>
      <c r="I108" s="240">
        <f t="shared" si="39"/>
        <v>58432.2</v>
      </c>
      <c r="J108" s="240">
        <f t="shared" si="39"/>
        <v>57245</v>
      </c>
      <c r="K108" s="240">
        <f t="shared" si="39"/>
        <v>69793</v>
      </c>
      <c r="L108" s="240">
        <f t="shared" si="39"/>
        <v>79744</v>
      </c>
      <c r="M108" s="240">
        <f t="shared" si="39"/>
        <v>87183.8</v>
      </c>
      <c r="N108" s="240">
        <f t="shared" si="39"/>
        <v>94222.399999999994</v>
      </c>
      <c r="O108" s="240">
        <f t="shared" si="39"/>
        <v>77840.399999999994</v>
      </c>
      <c r="P108" s="240">
        <f t="shared" si="28"/>
        <v>858933.8</v>
      </c>
      <c r="Q108" s="29"/>
    </row>
    <row r="109" spans="2:17" customFormat="1">
      <c r="B109" s="525"/>
      <c r="C109" s="239" t="s">
        <v>81</v>
      </c>
      <c r="D109" s="240">
        <f t="shared" ref="D109:O109" si="40">+D30+D71</f>
        <v>61370.400000000001</v>
      </c>
      <c r="E109" s="240">
        <f t="shared" si="40"/>
        <v>56616.800000000003</v>
      </c>
      <c r="F109" s="240">
        <f t="shared" si="40"/>
        <v>59988.800000000003</v>
      </c>
      <c r="G109" s="240">
        <f t="shared" si="40"/>
        <v>55209.8</v>
      </c>
      <c r="H109" s="240">
        <f t="shared" si="40"/>
        <v>61722.8</v>
      </c>
      <c r="I109" s="240">
        <f t="shared" si="40"/>
        <v>62127.8</v>
      </c>
      <c r="J109" s="240">
        <f t="shared" si="40"/>
        <v>57989.4</v>
      </c>
      <c r="K109" s="240">
        <f t="shared" si="40"/>
        <v>58331.199999999997</v>
      </c>
      <c r="L109" s="240">
        <f t="shared" si="40"/>
        <v>55543.4</v>
      </c>
      <c r="M109" s="240">
        <f t="shared" si="40"/>
        <v>61968.800000000003</v>
      </c>
      <c r="N109" s="240">
        <f t="shared" si="40"/>
        <v>69105.600000000006</v>
      </c>
      <c r="O109" s="240">
        <f t="shared" si="40"/>
        <v>74718.2</v>
      </c>
      <c r="P109" s="240">
        <f t="shared" si="28"/>
        <v>734693</v>
      </c>
      <c r="Q109" s="29"/>
    </row>
    <row r="110" spans="2:17" customFormat="1">
      <c r="B110" s="524" t="s">
        <v>82</v>
      </c>
      <c r="C110" s="524"/>
      <c r="D110" s="241">
        <f>SUM(D104:D109)</f>
        <v>1808887.8800000001</v>
      </c>
      <c r="E110" s="241">
        <f t="shared" ref="E110" si="41">SUM(E104:E109)</f>
        <v>1821362.62</v>
      </c>
      <c r="F110" s="241">
        <f t="shared" ref="F110" si="42">SUM(F104:F109)</f>
        <v>1869870.95</v>
      </c>
      <c r="G110" s="241">
        <f t="shared" ref="G110" si="43">SUM(G104:G109)</f>
        <v>1786565.1999999997</v>
      </c>
      <c r="H110" s="241">
        <f t="shared" ref="H110" si="44">SUM(H104:H109)</f>
        <v>1857689.4000000001</v>
      </c>
      <c r="I110" s="241">
        <f t="shared" ref="I110" si="45">SUM(I104:I109)</f>
        <v>1784322.71</v>
      </c>
      <c r="J110" s="241">
        <f t="shared" ref="J110" si="46">SUM(J104:J109)</f>
        <v>1786347.11</v>
      </c>
      <c r="K110" s="241">
        <f t="shared" ref="K110" si="47">SUM(K104:K109)</f>
        <v>1871257.16</v>
      </c>
      <c r="L110" s="241">
        <f t="shared" ref="L110" si="48">SUM(L104:L109)</f>
        <v>1918303.99</v>
      </c>
      <c r="M110" s="241">
        <f t="shared" ref="M110:O110" si="49">SUM(M104:M109)</f>
        <v>1966887.63</v>
      </c>
      <c r="N110" s="241">
        <f t="shared" si="49"/>
        <v>2033749.0599999998</v>
      </c>
      <c r="O110" s="241">
        <f t="shared" si="49"/>
        <v>1947462.4299999997</v>
      </c>
      <c r="P110" s="241">
        <f>SUM(D110:O110)</f>
        <v>22452706.140000001</v>
      </c>
      <c r="Q110" s="29"/>
    </row>
    <row r="111" spans="2:17" customFormat="1">
      <c r="B111" s="527" t="s">
        <v>50</v>
      </c>
      <c r="C111" s="239" t="s">
        <v>83</v>
      </c>
      <c r="D111" s="240">
        <f t="shared" ref="D111:O111" si="50">+D32+D73</f>
        <v>90303.8</v>
      </c>
      <c r="E111" s="240">
        <f t="shared" si="50"/>
        <v>87826.2</v>
      </c>
      <c r="F111" s="240">
        <f t="shared" si="50"/>
        <v>89910.36</v>
      </c>
      <c r="G111" s="240">
        <f t="shared" si="50"/>
        <v>91133.6</v>
      </c>
      <c r="H111" s="240">
        <f t="shared" si="50"/>
        <v>91963.75</v>
      </c>
      <c r="I111" s="240">
        <f t="shared" si="50"/>
        <v>88936.3</v>
      </c>
      <c r="J111" s="240">
        <f t="shared" si="50"/>
        <v>89618.6</v>
      </c>
      <c r="K111" s="240">
        <f t="shared" si="50"/>
        <v>87372.51999999999</v>
      </c>
      <c r="L111" s="240">
        <f t="shared" si="50"/>
        <v>87707</v>
      </c>
      <c r="M111" s="240">
        <f t="shared" si="50"/>
        <v>86024.76999999999</v>
      </c>
      <c r="N111" s="240">
        <f t="shared" si="50"/>
        <v>90244.800000000003</v>
      </c>
      <c r="O111" s="240">
        <f t="shared" si="50"/>
        <v>91161.95</v>
      </c>
      <c r="P111" s="240">
        <f>SUM(D111:O111)</f>
        <v>1072203.6500000001</v>
      </c>
      <c r="Q111" s="29"/>
    </row>
    <row r="112" spans="2:17" customFormat="1">
      <c r="B112" s="527"/>
      <c r="C112" s="239" t="s">
        <v>84</v>
      </c>
      <c r="D112" s="240">
        <f t="shared" ref="D112:O112" si="51">+D33+D74</f>
        <v>90503.1</v>
      </c>
      <c r="E112" s="240">
        <f t="shared" si="51"/>
        <v>90979.5</v>
      </c>
      <c r="F112" s="240">
        <f t="shared" si="51"/>
        <v>90077.4</v>
      </c>
      <c r="G112" s="240">
        <f t="shared" si="51"/>
        <v>90565.8</v>
      </c>
      <c r="H112" s="240">
        <f t="shared" si="51"/>
        <v>92331.9</v>
      </c>
      <c r="I112" s="240">
        <f t="shared" si="51"/>
        <v>90669.7</v>
      </c>
      <c r="J112" s="240">
        <f t="shared" si="51"/>
        <v>91529.5</v>
      </c>
      <c r="K112" s="240">
        <f t="shared" si="51"/>
        <v>91592.2</v>
      </c>
      <c r="L112" s="240">
        <f t="shared" si="51"/>
        <v>91300.2</v>
      </c>
      <c r="M112" s="240">
        <f t="shared" si="51"/>
        <v>90140.2</v>
      </c>
      <c r="N112" s="240">
        <f t="shared" si="51"/>
        <v>91247.8</v>
      </c>
      <c r="O112" s="240">
        <f t="shared" si="51"/>
        <v>90967.4</v>
      </c>
      <c r="P112" s="240">
        <f t="shared" si="28"/>
        <v>1091904.6999999997</v>
      </c>
      <c r="Q112" s="29"/>
    </row>
    <row r="113" spans="2:18" customFormat="1">
      <c r="B113" s="527"/>
      <c r="C113" s="239" t="s">
        <v>85</v>
      </c>
      <c r="D113" s="240">
        <f t="shared" ref="D113:O113" si="52">+D34+D75</f>
        <v>85495</v>
      </c>
      <c r="E113" s="240">
        <f t="shared" si="52"/>
        <v>87128.4</v>
      </c>
      <c r="F113" s="240">
        <f t="shared" si="52"/>
        <v>89008.709999999992</v>
      </c>
      <c r="G113" s="240">
        <f t="shared" si="52"/>
        <v>85294.64</v>
      </c>
      <c r="H113" s="240">
        <f t="shared" si="52"/>
        <v>88102.8</v>
      </c>
      <c r="I113" s="240">
        <f t="shared" si="52"/>
        <v>87795.4</v>
      </c>
      <c r="J113" s="240">
        <f t="shared" si="52"/>
        <v>87513.1</v>
      </c>
      <c r="K113" s="240">
        <f t="shared" si="52"/>
        <v>91007.2</v>
      </c>
      <c r="L113" s="240">
        <f t="shared" si="52"/>
        <v>89479.7</v>
      </c>
      <c r="M113" s="240">
        <f t="shared" si="52"/>
        <v>90552.2</v>
      </c>
      <c r="N113" s="240">
        <f t="shared" si="52"/>
        <v>89153.600000000006</v>
      </c>
      <c r="O113" s="240">
        <f t="shared" si="52"/>
        <v>84859.9</v>
      </c>
      <c r="P113" s="240">
        <f t="shared" si="28"/>
        <v>1055390.6499999997</v>
      </c>
      <c r="Q113" s="29"/>
    </row>
    <row r="114" spans="2:18" customFormat="1">
      <c r="B114" s="527"/>
      <c r="C114" s="239" t="s">
        <v>86</v>
      </c>
      <c r="D114" s="240">
        <f t="shared" ref="D114:O114" si="53">+D35+D76</f>
        <v>463971.02</v>
      </c>
      <c r="E114" s="240">
        <f t="shared" si="53"/>
        <v>492128.26</v>
      </c>
      <c r="F114" s="240">
        <f t="shared" si="53"/>
        <v>483249.99</v>
      </c>
      <c r="G114" s="240">
        <f t="shared" si="53"/>
        <v>472848.8</v>
      </c>
      <c r="H114" s="240">
        <f t="shared" si="53"/>
        <v>481529.8</v>
      </c>
      <c r="I114" s="240">
        <f t="shared" si="53"/>
        <v>476027.3</v>
      </c>
      <c r="J114" s="240">
        <f t="shared" si="53"/>
        <v>481899.56</v>
      </c>
      <c r="K114" s="240">
        <f t="shared" si="53"/>
        <v>494382.2</v>
      </c>
      <c r="L114" s="240">
        <f t="shared" si="53"/>
        <v>498166.25</v>
      </c>
      <c r="M114" s="240">
        <f t="shared" si="53"/>
        <v>508350.4</v>
      </c>
      <c r="N114" s="240">
        <f t="shared" si="53"/>
        <v>508557.5</v>
      </c>
      <c r="O114" s="240">
        <f t="shared" si="53"/>
        <v>471775.52</v>
      </c>
      <c r="P114" s="240">
        <f t="shared" si="28"/>
        <v>5832886.5999999996</v>
      </c>
      <c r="Q114" s="29"/>
    </row>
    <row r="115" spans="2:18" customFormat="1">
      <c r="B115" s="527"/>
      <c r="C115" s="239" t="s">
        <v>87</v>
      </c>
      <c r="D115" s="240">
        <f t="shared" ref="D115:O115" si="54">+D36+D77</f>
        <v>1518742.47</v>
      </c>
      <c r="E115" s="240">
        <f t="shared" si="54"/>
        <v>1683196.78</v>
      </c>
      <c r="F115" s="240">
        <f t="shared" si="54"/>
        <v>1689360.12</v>
      </c>
      <c r="G115" s="240">
        <f t="shared" si="54"/>
        <v>1757382.19</v>
      </c>
      <c r="H115" s="240">
        <f t="shared" si="54"/>
        <v>1794119.24</v>
      </c>
      <c r="I115" s="240">
        <f t="shared" si="54"/>
        <v>1746799.3</v>
      </c>
      <c r="J115" s="240">
        <f t="shared" si="54"/>
        <v>1782043.65</v>
      </c>
      <c r="K115" s="240">
        <f t="shared" si="54"/>
        <v>1889179.5899999999</v>
      </c>
      <c r="L115" s="240">
        <f t="shared" si="54"/>
        <v>1884754.83</v>
      </c>
      <c r="M115" s="240">
        <f t="shared" si="54"/>
        <v>1911076.3900000001</v>
      </c>
      <c r="N115" s="240">
        <f t="shared" si="54"/>
        <v>1833762.87</v>
      </c>
      <c r="O115" s="240">
        <f t="shared" si="54"/>
        <v>1761106.31</v>
      </c>
      <c r="P115" s="240">
        <f t="shared" si="28"/>
        <v>21251523.740000002</v>
      </c>
      <c r="Q115" s="29"/>
    </row>
    <row r="116" spans="2:18" customFormat="1">
      <c r="B116" s="524" t="s">
        <v>82</v>
      </c>
      <c r="C116" s="524"/>
      <c r="D116" s="241">
        <f>SUM(D111:D115)</f>
        <v>2249015.39</v>
      </c>
      <c r="E116" s="241">
        <f t="shared" ref="E116:O116" si="55">SUM(E111:E115)</f>
        <v>2441259.14</v>
      </c>
      <c r="F116" s="241">
        <f t="shared" si="55"/>
        <v>2441606.58</v>
      </c>
      <c r="G116" s="241">
        <f t="shared" si="55"/>
        <v>2497225.0300000003</v>
      </c>
      <c r="H116" s="241">
        <f t="shared" si="55"/>
        <v>2548047.4900000002</v>
      </c>
      <c r="I116" s="241">
        <f t="shared" si="55"/>
        <v>2490228</v>
      </c>
      <c r="J116" s="241">
        <f t="shared" si="55"/>
        <v>2532604.41</v>
      </c>
      <c r="K116" s="241">
        <f t="shared" si="55"/>
        <v>2653533.71</v>
      </c>
      <c r="L116" s="241">
        <f t="shared" si="55"/>
        <v>2651407.98</v>
      </c>
      <c r="M116" s="241">
        <f t="shared" si="55"/>
        <v>2686143.96</v>
      </c>
      <c r="N116" s="241">
        <f t="shared" si="55"/>
        <v>2612966.5700000003</v>
      </c>
      <c r="O116" s="241">
        <f t="shared" si="55"/>
        <v>2499871.08</v>
      </c>
      <c r="P116" s="241">
        <f>SUM(D116:O116)</f>
        <v>30303909.340000004</v>
      </c>
      <c r="Q116" s="29"/>
    </row>
    <row r="117" spans="2:18" customFormat="1">
      <c r="B117" s="527" t="s">
        <v>51</v>
      </c>
      <c r="C117" s="239" t="s">
        <v>83</v>
      </c>
      <c r="D117" s="240">
        <f t="shared" ref="D117:O117" si="56">+D38+D79</f>
        <v>806.9</v>
      </c>
      <c r="E117" s="240">
        <f t="shared" si="56"/>
        <v>836</v>
      </c>
      <c r="F117" s="240">
        <f t="shared" si="56"/>
        <v>825.7</v>
      </c>
      <c r="G117" s="240">
        <f t="shared" si="56"/>
        <v>799.1</v>
      </c>
      <c r="H117" s="240">
        <f t="shared" si="56"/>
        <v>815.6</v>
      </c>
      <c r="I117" s="240">
        <f t="shared" si="56"/>
        <v>754.5</v>
      </c>
      <c r="J117" s="240">
        <f t="shared" si="56"/>
        <v>791.2</v>
      </c>
      <c r="K117" s="240">
        <f t="shared" si="56"/>
        <v>796.4</v>
      </c>
      <c r="L117" s="240">
        <f t="shared" si="56"/>
        <v>856.8</v>
      </c>
      <c r="M117" s="240">
        <f t="shared" si="56"/>
        <v>770.9</v>
      </c>
      <c r="N117" s="240">
        <f t="shared" si="56"/>
        <v>806</v>
      </c>
      <c r="O117" s="240">
        <f t="shared" si="56"/>
        <v>897.8</v>
      </c>
      <c r="P117" s="240">
        <f>SUM(D117:O117)</f>
        <v>9756.8999999999978</v>
      </c>
      <c r="Q117" s="29"/>
    </row>
    <row r="118" spans="2:18">
      <c r="B118" s="527"/>
      <c r="C118" s="239" t="s">
        <v>84</v>
      </c>
      <c r="D118" s="240">
        <f t="shared" ref="D118:O118" si="57">+D39+D80</f>
        <v>1099.5999999999999</v>
      </c>
      <c r="E118" s="240">
        <f t="shared" si="57"/>
        <v>1085.5999999999999</v>
      </c>
      <c r="F118" s="240">
        <f t="shared" si="57"/>
        <v>987.7</v>
      </c>
      <c r="G118" s="240">
        <f t="shared" si="57"/>
        <v>1173</v>
      </c>
      <c r="H118" s="240">
        <f t="shared" si="57"/>
        <v>1073</v>
      </c>
      <c r="I118" s="240">
        <f t="shared" si="57"/>
        <v>1228</v>
      </c>
      <c r="J118" s="240">
        <f t="shared" si="57"/>
        <v>978</v>
      </c>
      <c r="K118" s="240">
        <f t="shared" si="57"/>
        <v>1096.5</v>
      </c>
      <c r="L118" s="240">
        <f t="shared" si="57"/>
        <v>1063</v>
      </c>
      <c r="M118" s="240">
        <f t="shared" si="57"/>
        <v>1116.5999999999999</v>
      </c>
      <c r="N118" s="240">
        <f t="shared" si="57"/>
        <v>1226.2</v>
      </c>
      <c r="O118" s="240">
        <f t="shared" si="57"/>
        <v>1366.5</v>
      </c>
      <c r="P118" s="240">
        <f t="shared" si="28"/>
        <v>13493.7</v>
      </c>
    </row>
    <row r="119" spans="2:18">
      <c r="B119" s="527"/>
      <c r="C119" s="239" t="s">
        <v>85</v>
      </c>
      <c r="D119" s="240">
        <f t="shared" ref="D119:O119" si="58">+D40+D81</f>
        <v>1372.6</v>
      </c>
      <c r="E119" s="240">
        <f t="shared" si="58"/>
        <v>1351.79</v>
      </c>
      <c r="F119" s="240">
        <f t="shared" si="58"/>
        <v>1443.5</v>
      </c>
      <c r="G119" s="240">
        <f t="shared" si="58"/>
        <v>1347.1</v>
      </c>
      <c r="H119" s="240">
        <f t="shared" si="58"/>
        <v>1667.8</v>
      </c>
      <c r="I119" s="240">
        <f t="shared" si="58"/>
        <v>1359.6599999999999</v>
      </c>
      <c r="J119" s="240">
        <f t="shared" si="58"/>
        <v>1546.6</v>
      </c>
      <c r="K119" s="240">
        <f t="shared" si="58"/>
        <v>1457.8</v>
      </c>
      <c r="L119" s="240">
        <f t="shared" si="58"/>
        <v>1548.4</v>
      </c>
      <c r="M119" s="240">
        <f t="shared" si="58"/>
        <v>1610.67</v>
      </c>
      <c r="N119" s="240">
        <f t="shared" si="58"/>
        <v>1444</v>
      </c>
      <c r="O119" s="240">
        <f t="shared" si="58"/>
        <v>1253</v>
      </c>
      <c r="P119" s="240">
        <f t="shared" si="28"/>
        <v>17402.919999999998</v>
      </c>
    </row>
    <row r="120" spans="2:18">
      <c r="B120" s="527"/>
      <c r="C120" s="239" t="s">
        <v>86</v>
      </c>
      <c r="D120" s="240">
        <f t="shared" ref="D120:O120" si="59">+D41+D82</f>
        <v>11931.95</v>
      </c>
      <c r="E120" s="240">
        <f t="shared" si="59"/>
        <v>11495.810000000001</v>
      </c>
      <c r="F120" s="240">
        <f t="shared" si="59"/>
        <v>11505.25</v>
      </c>
      <c r="G120" s="240">
        <f t="shared" si="59"/>
        <v>12051.880000000001</v>
      </c>
      <c r="H120" s="240">
        <f t="shared" si="59"/>
        <v>11904.91</v>
      </c>
      <c r="I120" s="240">
        <f t="shared" si="59"/>
        <v>12315.5</v>
      </c>
      <c r="J120" s="240">
        <f t="shared" si="59"/>
        <v>12474.21</v>
      </c>
      <c r="K120" s="240">
        <f t="shared" si="59"/>
        <v>12596.55</v>
      </c>
      <c r="L120" s="240">
        <f t="shared" si="59"/>
        <v>12669.45</v>
      </c>
      <c r="M120" s="240">
        <f t="shared" si="59"/>
        <v>12525.2</v>
      </c>
      <c r="N120" s="240">
        <f t="shared" si="59"/>
        <v>12176.76</v>
      </c>
      <c r="O120" s="240">
        <f t="shared" si="59"/>
        <v>12644.09</v>
      </c>
      <c r="P120" s="240">
        <f t="shared" si="28"/>
        <v>146291.56</v>
      </c>
    </row>
    <row r="121" spans="2:18">
      <c r="B121" s="527"/>
      <c r="C121" s="239" t="s">
        <v>87</v>
      </c>
      <c r="D121" s="240">
        <f t="shared" ref="D121:O121" si="60">+D42+D83</f>
        <v>86717.61</v>
      </c>
      <c r="E121" s="240">
        <f t="shared" si="60"/>
        <v>93191.44</v>
      </c>
      <c r="F121" s="240">
        <f t="shared" si="60"/>
        <v>88368.7</v>
      </c>
      <c r="G121" s="240">
        <f t="shared" si="60"/>
        <v>88393.98000000001</v>
      </c>
      <c r="H121" s="240">
        <f t="shared" si="60"/>
        <v>89002.33</v>
      </c>
      <c r="I121" s="240">
        <f t="shared" si="60"/>
        <v>94390.69</v>
      </c>
      <c r="J121" s="240">
        <f t="shared" si="60"/>
        <v>99445.959999999992</v>
      </c>
      <c r="K121" s="240">
        <f t="shared" si="60"/>
        <v>96256.82</v>
      </c>
      <c r="L121" s="240">
        <f t="shared" si="60"/>
        <v>255168.83</v>
      </c>
      <c r="M121" s="240">
        <f t="shared" si="60"/>
        <v>105613.35</v>
      </c>
      <c r="N121" s="240">
        <f t="shared" si="60"/>
        <v>109157.4</v>
      </c>
      <c r="O121" s="240">
        <f t="shared" si="60"/>
        <v>78987.91</v>
      </c>
      <c r="P121" s="240">
        <f t="shared" si="28"/>
        <v>1284695.0199999998</v>
      </c>
    </row>
    <row r="122" spans="2:18">
      <c r="B122" s="524" t="s">
        <v>82</v>
      </c>
      <c r="C122" s="524"/>
      <c r="D122" s="241">
        <f>SUM(D117:D121)</f>
        <v>101928.66</v>
      </c>
      <c r="E122" s="241">
        <f t="shared" ref="E122:O122" si="61">SUM(E117:E121)</f>
        <v>107960.64</v>
      </c>
      <c r="F122" s="241">
        <f t="shared" si="61"/>
        <v>103130.84999999999</v>
      </c>
      <c r="G122" s="241">
        <f t="shared" si="61"/>
        <v>103765.06000000001</v>
      </c>
      <c r="H122" s="241">
        <f t="shared" si="61"/>
        <v>104463.64</v>
      </c>
      <c r="I122" s="241">
        <f t="shared" si="61"/>
        <v>110048.35</v>
      </c>
      <c r="J122" s="241">
        <f t="shared" si="61"/>
        <v>115235.96999999999</v>
      </c>
      <c r="K122" s="241">
        <f t="shared" si="61"/>
        <v>112204.07</v>
      </c>
      <c r="L122" s="241">
        <f t="shared" si="61"/>
        <v>271306.48</v>
      </c>
      <c r="M122" s="241">
        <f t="shared" si="61"/>
        <v>121636.72</v>
      </c>
      <c r="N122" s="241">
        <f t="shared" si="61"/>
        <v>124810.35999999999</v>
      </c>
      <c r="O122" s="241">
        <f t="shared" si="61"/>
        <v>95149.3</v>
      </c>
      <c r="P122" s="241">
        <f>SUM(D122:O122)</f>
        <v>1471640.0999999999</v>
      </c>
    </row>
    <row r="123" spans="2:18">
      <c r="B123" s="527" t="s">
        <v>88</v>
      </c>
      <c r="C123" s="239" t="s">
        <v>83</v>
      </c>
      <c r="D123" s="240">
        <f t="shared" ref="D123:O123" si="62">+D44+D85</f>
        <v>933.8</v>
      </c>
      <c r="E123" s="240">
        <f t="shared" si="62"/>
        <v>1013.2</v>
      </c>
      <c r="F123" s="240">
        <f t="shared" si="62"/>
        <v>820.4</v>
      </c>
      <c r="G123" s="240">
        <f t="shared" si="62"/>
        <v>885.7</v>
      </c>
      <c r="H123" s="240">
        <f t="shared" si="62"/>
        <v>904.2</v>
      </c>
      <c r="I123" s="240">
        <f t="shared" si="62"/>
        <v>860.6</v>
      </c>
      <c r="J123" s="240">
        <f t="shared" si="62"/>
        <v>795.6</v>
      </c>
      <c r="K123" s="240">
        <f t="shared" si="62"/>
        <v>749.2</v>
      </c>
      <c r="L123" s="240">
        <f t="shared" si="62"/>
        <v>721.8</v>
      </c>
      <c r="M123" s="240">
        <f t="shared" si="62"/>
        <v>728.3</v>
      </c>
      <c r="N123" s="240">
        <f t="shared" si="62"/>
        <v>735.3</v>
      </c>
      <c r="O123" s="240">
        <f t="shared" si="62"/>
        <v>921.6</v>
      </c>
      <c r="P123" s="240">
        <f t="shared" si="28"/>
        <v>10069.700000000001</v>
      </c>
    </row>
    <row r="124" spans="2:18">
      <c r="B124" s="527"/>
      <c r="C124" s="239" t="s">
        <v>84</v>
      </c>
      <c r="D124" s="240">
        <f t="shared" ref="D124:O124" si="63">+D45+D86</f>
        <v>1402.2</v>
      </c>
      <c r="E124" s="240">
        <f t="shared" si="63"/>
        <v>1169</v>
      </c>
      <c r="F124" s="240">
        <f t="shared" si="63"/>
        <v>1213.8</v>
      </c>
      <c r="G124" s="240">
        <f t="shared" si="63"/>
        <v>1178.4000000000001</v>
      </c>
      <c r="H124" s="240">
        <f t="shared" si="63"/>
        <v>1351.7</v>
      </c>
      <c r="I124" s="240">
        <f t="shared" si="63"/>
        <v>1187.9000000000001</v>
      </c>
      <c r="J124" s="240">
        <f t="shared" si="63"/>
        <v>1333.2</v>
      </c>
      <c r="K124" s="240">
        <f t="shared" si="63"/>
        <v>1119.2</v>
      </c>
      <c r="L124" s="240">
        <f t="shared" si="63"/>
        <v>1054.2</v>
      </c>
      <c r="M124" s="240">
        <f t="shared" si="63"/>
        <v>1016.2</v>
      </c>
      <c r="N124" s="240">
        <f t="shared" si="63"/>
        <v>1213.2</v>
      </c>
      <c r="O124" s="240">
        <f t="shared" si="63"/>
        <v>1439.8</v>
      </c>
      <c r="P124" s="240">
        <f t="shared" si="28"/>
        <v>14678.800000000003</v>
      </c>
    </row>
    <row r="125" spans="2:18">
      <c r="B125" s="527"/>
      <c r="C125" s="239" t="s">
        <v>85</v>
      </c>
      <c r="D125" s="240">
        <f t="shared" ref="D125:O125" si="64">+D46+D87</f>
        <v>1884.8</v>
      </c>
      <c r="E125" s="240">
        <f t="shared" si="64"/>
        <v>1682.4</v>
      </c>
      <c r="F125" s="240">
        <f t="shared" si="64"/>
        <v>1602</v>
      </c>
      <c r="G125" s="240">
        <f t="shared" si="64"/>
        <v>2000.4</v>
      </c>
      <c r="H125" s="240">
        <f t="shared" si="64"/>
        <v>1395</v>
      </c>
      <c r="I125" s="240">
        <f t="shared" si="64"/>
        <v>1717</v>
      </c>
      <c r="J125" s="240">
        <f t="shared" si="64"/>
        <v>1488</v>
      </c>
      <c r="K125" s="240">
        <f t="shared" si="64"/>
        <v>1472</v>
      </c>
      <c r="L125" s="240">
        <f t="shared" si="64"/>
        <v>1649</v>
      </c>
      <c r="M125" s="240">
        <f t="shared" si="64"/>
        <v>1358</v>
      </c>
      <c r="N125" s="240">
        <f t="shared" si="64"/>
        <v>1381</v>
      </c>
      <c r="O125" s="240">
        <f t="shared" si="64"/>
        <v>1970.4</v>
      </c>
      <c r="P125" s="240">
        <f t="shared" si="28"/>
        <v>19600</v>
      </c>
    </row>
    <row r="126" spans="2:18">
      <c r="B126" s="527"/>
      <c r="C126" s="239" t="s">
        <v>86</v>
      </c>
      <c r="D126" s="240">
        <f t="shared" ref="D126:O126" si="65">+D47+D88</f>
        <v>25225</v>
      </c>
      <c r="E126" s="240">
        <f t="shared" si="65"/>
        <v>26633.200000000001</v>
      </c>
      <c r="F126" s="240">
        <f t="shared" si="65"/>
        <v>23296</v>
      </c>
      <c r="G126" s="240">
        <f t="shared" si="65"/>
        <v>22537.200000000001</v>
      </c>
      <c r="H126" s="240">
        <f t="shared" si="65"/>
        <v>22531.4</v>
      </c>
      <c r="I126" s="240">
        <f t="shared" si="65"/>
        <v>22543.200000000001</v>
      </c>
      <c r="J126" s="240">
        <f t="shared" si="65"/>
        <v>24049.200000000001</v>
      </c>
      <c r="K126" s="240">
        <f t="shared" si="65"/>
        <v>23892.799999999999</v>
      </c>
      <c r="L126" s="240">
        <f t="shared" si="65"/>
        <v>22249.1</v>
      </c>
      <c r="M126" s="240">
        <f t="shared" si="65"/>
        <v>23995.4</v>
      </c>
      <c r="N126" s="240">
        <f t="shared" si="65"/>
        <v>22886.400000000001</v>
      </c>
      <c r="O126" s="240">
        <f t="shared" si="65"/>
        <v>23856.3</v>
      </c>
      <c r="P126" s="240">
        <f t="shared" si="28"/>
        <v>283695.2</v>
      </c>
    </row>
    <row r="127" spans="2:18">
      <c r="B127" s="527"/>
      <c r="C127" s="239" t="s">
        <v>87</v>
      </c>
      <c r="D127" s="240">
        <f t="shared" ref="D127:O127" si="66">+D48+D89</f>
        <v>1435033.9</v>
      </c>
      <c r="E127" s="240">
        <f t="shared" si="66"/>
        <v>1480760.5</v>
      </c>
      <c r="F127" s="240">
        <f t="shared" si="66"/>
        <v>1649175.15</v>
      </c>
      <c r="G127" s="240">
        <f t="shared" si="66"/>
        <v>1550860.15</v>
      </c>
      <c r="H127" s="240">
        <f t="shared" si="66"/>
        <v>1727438.51</v>
      </c>
      <c r="I127" s="240">
        <f t="shared" si="66"/>
        <v>1709079.3</v>
      </c>
      <c r="J127" s="240">
        <f t="shared" si="66"/>
        <v>1585843</v>
      </c>
      <c r="K127" s="240">
        <f t="shared" si="66"/>
        <v>1710373.8199999998</v>
      </c>
      <c r="L127" s="240">
        <f t="shared" si="66"/>
        <v>1829250.03</v>
      </c>
      <c r="M127" s="240">
        <f t="shared" si="66"/>
        <v>1888103.72</v>
      </c>
      <c r="N127" s="240">
        <f t="shared" si="66"/>
        <v>1870177.12</v>
      </c>
      <c r="O127" s="240">
        <f t="shared" si="66"/>
        <v>1591101.23</v>
      </c>
      <c r="P127" s="240">
        <f t="shared" si="28"/>
        <v>20027196.43</v>
      </c>
      <c r="R127" s="92"/>
    </row>
    <row r="128" spans="2:18">
      <c r="B128" s="524" t="s">
        <v>82</v>
      </c>
      <c r="C128" s="524"/>
      <c r="D128" s="241">
        <f>SUM(D123:D127)</f>
        <v>1464479.7</v>
      </c>
      <c r="E128" s="241">
        <f t="shared" ref="E128:L128" si="67">SUM(E123:E127)</f>
        <v>1511258.3</v>
      </c>
      <c r="F128" s="241">
        <f t="shared" si="67"/>
        <v>1676107.3499999999</v>
      </c>
      <c r="G128" s="241">
        <f t="shared" si="67"/>
        <v>1577461.8499999999</v>
      </c>
      <c r="H128" s="241">
        <f t="shared" si="67"/>
        <v>1753620.81</v>
      </c>
      <c r="I128" s="241">
        <f t="shared" si="67"/>
        <v>1735388</v>
      </c>
      <c r="J128" s="241">
        <f t="shared" si="67"/>
        <v>1613509</v>
      </c>
      <c r="K128" s="241">
        <f t="shared" si="67"/>
        <v>1737607.0199999998</v>
      </c>
      <c r="L128" s="241">
        <f t="shared" si="67"/>
        <v>1854924.1300000001</v>
      </c>
      <c r="M128" s="241">
        <f>SUM(M123:M127)</f>
        <v>1915201.6199999999</v>
      </c>
      <c r="N128" s="241">
        <f>SUM(N123:N127)</f>
        <v>1896393.02</v>
      </c>
      <c r="O128" s="241">
        <f>SUM(O123:O127)</f>
        <v>1619289.33</v>
      </c>
      <c r="P128" s="241">
        <f>SUM(D128:O128)</f>
        <v>20355240.130000003</v>
      </c>
      <c r="R128" s="92"/>
    </row>
    <row r="129" spans="2:18">
      <c r="B129" s="524" t="s">
        <v>89</v>
      </c>
      <c r="C129" s="524"/>
      <c r="D129" s="241">
        <f>D103+D110+D116+D122+D128</f>
        <v>25215534.760000002</v>
      </c>
      <c r="E129" s="241">
        <f t="shared" ref="E129:L129" si="68">E103+E110+E116+E122+E128</f>
        <v>25845186.600000001</v>
      </c>
      <c r="F129" s="241">
        <f t="shared" si="68"/>
        <v>26491605.700000003</v>
      </c>
      <c r="G129" s="241">
        <f t="shared" si="68"/>
        <v>25196293.66</v>
      </c>
      <c r="H129" s="241">
        <f t="shared" si="68"/>
        <v>26465465.059999999</v>
      </c>
      <c r="I129" s="241">
        <f t="shared" si="68"/>
        <v>25669657.960000001</v>
      </c>
      <c r="J129" s="241">
        <f t="shared" si="68"/>
        <v>25921952.879999999</v>
      </c>
      <c r="K129" s="241">
        <f>K103+K110+K116+K122+K128</f>
        <v>27083587.759999998</v>
      </c>
      <c r="L129" s="241">
        <f t="shared" si="68"/>
        <v>27783896.229999997</v>
      </c>
      <c r="M129" s="241">
        <f>M103+M110+M116+M122+M128</f>
        <v>28113359.809999999</v>
      </c>
      <c r="N129" s="241">
        <f>N103+N110+N116+N122+N128</f>
        <v>27716944.279999994</v>
      </c>
      <c r="O129" s="241">
        <f>O103+O110+O116+O122+O128</f>
        <v>25633044.450000003</v>
      </c>
      <c r="P129" s="241">
        <f>SUM(D129:O129)</f>
        <v>317136529.14999998</v>
      </c>
    </row>
    <row r="130" spans="2:18">
      <c r="B130" s="524" t="s">
        <v>97</v>
      </c>
      <c r="C130" s="524"/>
      <c r="D130" s="241">
        <f t="shared" ref="D130:O130" si="69">+D92+D54</f>
        <v>25400573.759999998</v>
      </c>
      <c r="E130" s="241">
        <f t="shared" si="69"/>
        <v>26022071.600000001</v>
      </c>
      <c r="F130" s="241">
        <f t="shared" si="69"/>
        <v>26630683.700000003</v>
      </c>
      <c r="G130" s="241">
        <f t="shared" si="69"/>
        <v>25333244.66</v>
      </c>
      <c r="H130" s="241">
        <f t="shared" si="69"/>
        <v>26613690.060000002</v>
      </c>
      <c r="I130" s="241">
        <f t="shared" si="69"/>
        <v>25810593.960000001</v>
      </c>
      <c r="J130" s="241">
        <f t="shared" si="69"/>
        <v>26080739.879999999</v>
      </c>
      <c r="K130" s="241">
        <f t="shared" si="69"/>
        <v>27234030.759999998</v>
      </c>
      <c r="L130" s="241">
        <f t="shared" si="69"/>
        <v>27950232.23</v>
      </c>
      <c r="M130" s="241">
        <f t="shared" si="69"/>
        <v>30483538.810000002</v>
      </c>
      <c r="N130" s="241">
        <f t="shared" si="69"/>
        <v>27968893.280000001</v>
      </c>
      <c r="O130" s="241">
        <f t="shared" si="69"/>
        <v>25765457.450000003</v>
      </c>
      <c r="P130" s="241">
        <f>SUM(D130:O130)</f>
        <v>321293750.14999998</v>
      </c>
    </row>
    <row r="131" spans="2:18">
      <c r="B131" s="95" t="s">
        <v>32</v>
      </c>
      <c r="D131" s="163">
        <f>D130-'CF - 2026'!D17</f>
        <v>-0.24000000208616257</v>
      </c>
      <c r="E131" s="163">
        <f>E130-'CF - 2026'!E17</f>
        <v>-0.39999999850988388</v>
      </c>
      <c r="F131" s="163">
        <f>F130-'CF - 2026'!F17</f>
        <v>-0.29999999701976776</v>
      </c>
      <c r="G131" s="163">
        <f>G130-'CF - 2026'!G17</f>
        <v>-0.33999999985098839</v>
      </c>
      <c r="H131" s="163">
        <f>H130-'CF - 2026'!H17</f>
        <v>6.0000002384185791E-2</v>
      </c>
      <c r="I131" s="163">
        <f>I130-'CF - 2026'!I17</f>
        <v>-3.9999999105930328E-2</v>
      </c>
      <c r="J131" s="163">
        <f>J130-'CF - 2026'!J17</f>
        <v>-0.12000000104308128</v>
      </c>
      <c r="K131" s="163">
        <f>K130-'CF - 2026'!K17</f>
        <v>-0.24000000208616257</v>
      </c>
      <c r="L131" s="163">
        <f>L130-'CF - 2026'!L17</f>
        <v>0.23000000044703484</v>
      </c>
      <c r="M131" s="163">
        <f>M130-'CF - 2026'!M17</f>
        <v>-0.18999999761581421</v>
      </c>
      <c r="N131" s="163">
        <f>N130-'CF - 2026'!N17</f>
        <v>0.2800000011920929</v>
      </c>
      <c r="O131" s="163">
        <f>O130-'CF - 2026'!O17</f>
        <v>0.45000000298023224</v>
      </c>
      <c r="P131" s="163">
        <f>P130-'CF - 2026'!P17</f>
        <v>-0.85000002384185791</v>
      </c>
      <c r="R131" s="92"/>
    </row>
    <row r="132" spans="2:18"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92"/>
    </row>
    <row r="135" spans="2:18" hidden="1">
      <c r="D135" s="86"/>
      <c r="E135" s="86"/>
      <c r="F135" s="86"/>
      <c r="G135" s="86"/>
      <c r="H135" s="86"/>
      <c r="I135" s="86"/>
      <c r="J135" s="86"/>
      <c r="K135" s="86"/>
      <c r="L135" s="86"/>
      <c r="M135" s="86"/>
    </row>
    <row r="136" spans="2:18"/>
  </sheetData>
  <mergeCells count="45">
    <mergeCell ref="B128:C128"/>
    <mergeCell ref="B129:C129"/>
    <mergeCell ref="B130:C130"/>
    <mergeCell ref="B111:B115"/>
    <mergeCell ref="B116:C116"/>
    <mergeCell ref="B117:B121"/>
    <mergeCell ref="B122:C122"/>
    <mergeCell ref="B123:B127"/>
    <mergeCell ref="B95:P95"/>
    <mergeCell ref="B97:B102"/>
    <mergeCell ref="B103:C103"/>
    <mergeCell ref="B104:B109"/>
    <mergeCell ref="B110:C110"/>
    <mergeCell ref="B84:C84"/>
    <mergeCell ref="B85:B89"/>
    <mergeCell ref="B90:C90"/>
    <mergeCell ref="B92:C92"/>
    <mergeCell ref="B66:B71"/>
    <mergeCell ref="B72:C72"/>
    <mergeCell ref="B73:B77"/>
    <mergeCell ref="B78:C78"/>
    <mergeCell ref="B79:B83"/>
    <mergeCell ref="B16:P16"/>
    <mergeCell ref="B18:B23"/>
    <mergeCell ref="B24:C24"/>
    <mergeCell ref="B25:B30"/>
    <mergeCell ref="B31:C31"/>
    <mergeCell ref="B17:C17"/>
    <mergeCell ref="B8:P8"/>
    <mergeCell ref="B9:C9"/>
    <mergeCell ref="B10:C10"/>
    <mergeCell ref="B11:C11"/>
    <mergeCell ref="B12:C12"/>
    <mergeCell ref="B54:C54"/>
    <mergeCell ref="B57:P57"/>
    <mergeCell ref="B59:B64"/>
    <mergeCell ref="B65:C65"/>
    <mergeCell ref="B32:B36"/>
    <mergeCell ref="B37:C37"/>
    <mergeCell ref="B38:B42"/>
    <mergeCell ref="B43:C43"/>
    <mergeCell ref="B44:B48"/>
    <mergeCell ref="B50:C50"/>
    <mergeCell ref="B53:C53"/>
    <mergeCell ref="B49:C49"/>
  </mergeCells>
  <pageMargins left="0.511811024" right="0.511811024" top="0.78740157499999996" bottom="0.78740157499999996" header="0.31496062000000002" footer="0.31496062000000002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3"/>
  </sheetPr>
  <dimension ref="A1:K44"/>
  <sheetViews>
    <sheetView showGridLines="0" topLeftCell="A17" zoomScaleNormal="100" workbookViewId="0">
      <selection activeCell="E24" sqref="E24"/>
    </sheetView>
  </sheetViews>
  <sheetFormatPr defaultColWidth="0" defaultRowHeight="15" zeroHeight="1"/>
  <cols>
    <col min="1" max="1" width="9.140625" customWidth="1"/>
    <col min="2" max="2" width="65.42578125" customWidth="1"/>
    <col min="3" max="3" width="17.85546875" customWidth="1"/>
    <col min="4" max="4" width="16.85546875" bestFit="1" customWidth="1"/>
    <col min="5" max="5" width="29.5703125" style="13" customWidth="1"/>
    <col min="6" max="6" width="32.85546875" style="6" customWidth="1"/>
    <col min="7" max="8" width="27.7109375" style="6" customWidth="1"/>
    <col min="9" max="9" width="16" customWidth="1"/>
    <col min="10" max="10" width="2.5703125" customWidth="1"/>
    <col min="11" max="11" width="13.85546875" customWidth="1"/>
    <col min="12" max="16384" width="9.140625" hidden="1"/>
  </cols>
  <sheetData>
    <row r="1" spans="2:10" s="6" customFormat="1" ht="3" customHeight="1">
      <c r="E1" s="149"/>
    </row>
    <row r="2" spans="2:10" s="6" customFormat="1" ht="14.25">
      <c r="E2" s="149"/>
    </row>
    <row r="3" spans="2:10" s="112" customFormat="1" ht="18" customHeight="1">
      <c r="E3" s="347"/>
      <c r="G3" s="113"/>
      <c r="H3" s="113"/>
      <c r="I3" s="113"/>
      <c r="J3" s="113"/>
    </row>
    <row r="4" spans="2:10" s="112" customFormat="1" ht="15" customHeight="1">
      <c r="E4" s="347"/>
      <c r="G4" s="113"/>
      <c r="H4" s="113"/>
      <c r="I4" s="113"/>
      <c r="J4" s="113"/>
    </row>
    <row r="5" spans="2:10" s="112" customFormat="1" ht="21" customHeight="1">
      <c r="E5" s="347"/>
      <c r="G5" s="113"/>
      <c r="H5" s="113"/>
      <c r="I5" s="113"/>
      <c r="J5" s="113"/>
    </row>
    <row r="6" spans="2:10" s="6" customFormat="1" ht="18" customHeight="1">
      <c r="E6" s="149"/>
      <c r="G6" s="101"/>
      <c r="H6" s="101"/>
      <c r="I6" s="101"/>
      <c r="J6" s="101"/>
    </row>
    <row r="7" spans="2:10" s="6" customFormat="1" ht="15" customHeight="1">
      <c r="B7" s="111" t="s">
        <v>98</v>
      </c>
      <c r="C7" s="111"/>
      <c r="D7" s="111"/>
      <c r="E7" s="102"/>
      <c r="F7" s="111"/>
      <c r="G7" s="101"/>
      <c r="H7" s="101"/>
    </row>
    <row r="8" spans="2:10" s="6" customFormat="1" ht="15" customHeight="1">
      <c r="E8" s="102"/>
      <c r="F8" s="111"/>
      <c r="G8" s="139"/>
    </row>
    <row r="9" spans="2:10" s="6" customFormat="1" ht="18" customHeight="1">
      <c r="B9" s="27"/>
      <c r="C9" s="28"/>
      <c r="E9" s="149"/>
    </row>
    <row r="10" spans="2:10" s="6" customFormat="1" ht="18" customHeight="1">
      <c r="B10" s="530" t="s">
        <v>99</v>
      </c>
      <c r="C10" s="530"/>
      <c r="E10" s="149"/>
      <c r="I10" s="15"/>
    </row>
    <row r="11" spans="2:10" s="6" customFormat="1" ht="18" customHeight="1">
      <c r="B11" s="248" t="s">
        <v>100</v>
      </c>
      <c r="C11" s="249">
        <f>+Volume_2025!P54</f>
        <v>170139008</v>
      </c>
      <c r="E11" s="149"/>
      <c r="G11" s="14"/>
      <c r="I11" s="14"/>
    </row>
    <row r="12" spans="2:10" s="6" customFormat="1" ht="15" customHeight="1">
      <c r="B12" s="248" t="s">
        <v>101</v>
      </c>
      <c r="C12" s="249">
        <f>+Volume_2025!P92</f>
        <v>151154742.14999998</v>
      </c>
      <c r="E12" s="149"/>
      <c r="G12" s="14"/>
    </row>
    <row r="13" spans="2:10" s="7" customFormat="1" ht="18" customHeight="1">
      <c r="B13" s="250" t="s">
        <v>102</v>
      </c>
      <c r="C13" s="249">
        <f>Volume_2025!P54+Volume_2025!P92</f>
        <v>321293750.14999998</v>
      </c>
      <c r="D13" s="6"/>
      <c r="E13" s="149"/>
      <c r="F13" s="6"/>
      <c r="G13" s="14"/>
    </row>
    <row r="14" spans="2:10" s="6" customFormat="1" ht="18" customHeight="1">
      <c r="B14" s="250" t="s">
        <v>103</v>
      </c>
      <c r="C14" s="249">
        <f>'CF - 2026'!P19</f>
        <v>2639309056.4599996</v>
      </c>
      <c r="E14" s="149"/>
      <c r="G14" s="14"/>
    </row>
    <row r="15" spans="2:10" s="6" customFormat="1" ht="18" customHeight="1">
      <c r="B15" s="230" t="s">
        <v>104</v>
      </c>
      <c r="C15" s="251">
        <f>1%*C14</f>
        <v>26393090.564599995</v>
      </c>
      <c r="E15" s="149"/>
      <c r="G15" s="14"/>
    </row>
    <row r="16" spans="2:10" s="6" customFormat="1" ht="18" customHeight="1">
      <c r="B16" s="191"/>
      <c r="C16" s="192"/>
      <c r="E16" s="348"/>
      <c r="G16" s="14"/>
    </row>
    <row r="17" spans="2:11" s="6" customFormat="1" ht="18" customHeight="1">
      <c r="B17" s="530" t="s">
        <v>105</v>
      </c>
      <c r="C17" s="530"/>
      <c r="E17" s="149"/>
      <c r="G17" s="14"/>
    </row>
    <row r="18" spans="2:11" s="7" customFormat="1" ht="18" customHeight="1">
      <c r="B18" s="248" t="s">
        <v>106</v>
      </c>
      <c r="C18" s="249">
        <f>Volume_2025!P10</f>
        <v>279689737.76999998</v>
      </c>
      <c r="D18" s="157"/>
      <c r="E18" s="149"/>
      <c r="F18" s="14"/>
      <c r="G18" s="14"/>
      <c r="I18" s="6"/>
      <c r="J18" s="6"/>
    </row>
    <row r="19" spans="2:11" s="6" customFormat="1" ht="15" customHeight="1">
      <c r="B19" s="248" t="s">
        <v>107</v>
      </c>
      <c r="C19" s="249">
        <f>Volume_2025!P11</f>
        <v>135659247.32999998</v>
      </c>
      <c r="D19" s="157"/>
      <c r="E19" s="349"/>
      <c r="F19" s="151"/>
      <c r="G19" s="152"/>
    </row>
    <row r="20" spans="2:11" s="6" customFormat="1" ht="18" customHeight="1">
      <c r="B20" s="250" t="s">
        <v>108</v>
      </c>
      <c r="C20" s="249">
        <f>SUM(C18:C19)</f>
        <v>415348985.09999996</v>
      </c>
      <c r="E20" s="349"/>
    </row>
    <row r="21" spans="2:11" s="6" customFormat="1" ht="18" customHeight="1">
      <c r="B21" s="250" t="s">
        <v>109</v>
      </c>
      <c r="C21" s="249">
        <f>'CF - 2026'!P20</f>
        <v>3408086716.5543098</v>
      </c>
      <c r="E21" s="149"/>
      <c r="F21" s="14"/>
    </row>
    <row r="22" spans="2:11" s="6" customFormat="1" ht="18" customHeight="1">
      <c r="B22" s="252" t="s">
        <v>110</v>
      </c>
      <c r="C22" s="251">
        <f>2.5%*C21</f>
        <v>85202167.913857758</v>
      </c>
      <c r="E22" s="348"/>
      <c r="F22" s="14"/>
    </row>
    <row r="23" spans="2:11" s="6" customFormat="1" ht="18" customHeight="1">
      <c r="B23" s="145"/>
      <c r="C23" s="146"/>
      <c r="E23" s="149"/>
      <c r="G23" s="153"/>
      <c r="H23" s="14"/>
    </row>
    <row r="24" spans="2:11" s="6" customFormat="1" ht="18" customHeight="1">
      <c r="B24" s="195" t="s">
        <v>111</v>
      </c>
      <c r="C24" s="195" t="s">
        <v>112</v>
      </c>
      <c r="E24" s="149"/>
      <c r="F24" s="149"/>
      <c r="G24" s="154"/>
      <c r="H24" s="149"/>
      <c r="I24" s="149"/>
      <c r="J24" s="149"/>
      <c r="K24" s="149"/>
    </row>
    <row r="25" spans="2:11" s="6" customFormat="1">
      <c r="B25" s="253" t="s">
        <v>113</v>
      </c>
      <c r="C25" s="254">
        <f>C15</f>
        <v>26393090.564599995</v>
      </c>
      <c r="E25" s="350"/>
      <c r="F25" s="14"/>
      <c r="G25" s="14"/>
    </row>
    <row r="26" spans="2:11" s="6" customFormat="1" ht="15" customHeight="1">
      <c r="B26" s="253" t="s">
        <v>114</v>
      </c>
      <c r="C26" s="254">
        <f>C22</f>
        <v>85202167.913857758</v>
      </c>
      <c r="E26" s="350"/>
      <c r="F26" s="14"/>
      <c r="G26" s="14"/>
      <c r="H26" s="155"/>
      <c r="K26" s="14"/>
    </row>
    <row r="27" spans="2:11" s="6" customFormat="1" ht="15" customHeight="1">
      <c r="B27" s="253" t="s">
        <v>115</v>
      </c>
      <c r="C27" s="254">
        <v>60000</v>
      </c>
      <c r="E27" s="82"/>
      <c r="H27" s="150"/>
      <c r="K27" s="14"/>
    </row>
    <row r="28" spans="2:11" s="6" customFormat="1" ht="15" customHeight="1">
      <c r="B28" s="221" t="s">
        <v>116</v>
      </c>
      <c r="C28" s="301">
        <v>11000000</v>
      </c>
      <c r="D28" s="189"/>
      <c r="E28" s="82"/>
      <c r="H28" s="150"/>
      <c r="K28" s="14"/>
    </row>
    <row r="29" spans="2:11" s="6" customFormat="1">
      <c r="B29" s="221" t="s">
        <v>117</v>
      </c>
      <c r="C29" s="301">
        <v>1500000</v>
      </c>
      <c r="D29" s="189"/>
      <c r="E29" s="149"/>
      <c r="H29" s="150"/>
      <c r="K29" s="14"/>
    </row>
    <row r="30" spans="2:11" s="6" customFormat="1">
      <c r="B30" s="221" t="s">
        <v>118</v>
      </c>
      <c r="C30" s="254">
        <f>($E$31*0.2%)</f>
        <v>4227969.7001999998</v>
      </c>
      <c r="D30" s="189"/>
      <c r="E30" s="261" t="s">
        <v>119</v>
      </c>
      <c r="H30" s="150"/>
      <c r="K30" s="14"/>
    </row>
    <row r="31" spans="2:11" s="6" customFormat="1" ht="18">
      <c r="B31" s="195" t="s">
        <v>120</v>
      </c>
      <c r="C31" s="255">
        <f>C25+C26+C27+C28+C29+C30</f>
        <v>128383228.17865776</v>
      </c>
      <c r="E31" s="351">
        <v>2113984850.0999999</v>
      </c>
      <c r="H31" s="150"/>
      <c r="K31" s="14"/>
    </row>
    <row r="32" spans="2:11" s="6" customFormat="1" ht="15" customHeight="1">
      <c r="B32" s="27"/>
      <c r="C32" s="28"/>
      <c r="E32" s="149"/>
      <c r="H32" s="150"/>
      <c r="K32" s="14"/>
    </row>
    <row r="33" spans="2:11" s="6" customFormat="1" ht="18">
      <c r="B33" s="256" t="s">
        <v>121</v>
      </c>
      <c r="C33" s="257" t="s">
        <v>122</v>
      </c>
      <c r="D33" s="302">
        <f>C31</f>
        <v>128383228.17865776</v>
      </c>
      <c r="E33" s="149"/>
      <c r="F33" s="104"/>
      <c r="G33" s="82"/>
      <c r="H33" s="150"/>
      <c r="K33" s="14"/>
    </row>
    <row r="34" spans="2:11" s="6" customFormat="1" ht="15" customHeight="1">
      <c r="B34" s="256" t="s">
        <v>61</v>
      </c>
      <c r="C34" s="257" t="s">
        <v>123</v>
      </c>
      <c r="D34" s="302">
        <f>Volume_2025!P130</f>
        <v>321293750.14999998</v>
      </c>
      <c r="E34" s="149"/>
      <c r="H34" s="486"/>
      <c r="K34" s="14"/>
    </row>
    <row r="35" spans="2:11" s="6" customFormat="1" ht="15" customHeight="1">
      <c r="B35" s="201" t="s">
        <v>124</v>
      </c>
      <c r="C35" s="259" t="s">
        <v>125</v>
      </c>
      <c r="D35" s="260">
        <f>D33/D34</f>
        <v>0.39958208996820027</v>
      </c>
      <c r="E35" s="149"/>
      <c r="H35" s="150"/>
      <c r="K35" s="14"/>
    </row>
    <row r="36" spans="2:11" s="6" customFormat="1" ht="15" customHeight="1">
      <c r="B36"/>
      <c r="C36"/>
      <c r="D36"/>
      <c r="E36" s="149"/>
      <c r="H36" s="150"/>
      <c r="K36" s="14"/>
    </row>
    <row r="37" spans="2:11" s="6" customFormat="1" ht="15" customHeight="1">
      <c r="B37"/>
      <c r="C37"/>
      <c r="D37"/>
      <c r="E37" s="149"/>
      <c r="H37" s="150"/>
      <c r="K37" s="14"/>
    </row>
    <row r="38" spans="2:11" s="6" customFormat="1" ht="15" customHeight="1">
      <c r="B38"/>
      <c r="C38"/>
      <c r="D38"/>
      <c r="E38" s="149"/>
    </row>
    <row r="39" spans="2:11" s="6" customFormat="1" hidden="1">
      <c r="B39"/>
      <c r="C39"/>
      <c r="D39"/>
      <c r="E39" s="149"/>
    </row>
    <row r="40" spans="2:11" s="6" customFormat="1" ht="9" hidden="1" customHeight="1">
      <c r="B40"/>
      <c r="C40"/>
      <c r="D40"/>
      <c r="E40" s="149"/>
      <c r="H40"/>
    </row>
    <row r="41" spans="2:11" s="6" customFormat="1" hidden="1">
      <c r="B41"/>
      <c r="C41"/>
      <c r="D41"/>
      <c r="E41" s="13"/>
      <c r="G41" s="16"/>
      <c r="H41" s="16"/>
    </row>
    <row r="42" spans="2:11" s="6" customFormat="1" ht="15" hidden="1" customHeight="1">
      <c r="B42"/>
      <c r="C42"/>
      <c r="D42"/>
      <c r="E42" s="13"/>
      <c r="G42" s="20"/>
      <c r="H42" s="16"/>
      <c r="K42"/>
    </row>
    <row r="43" spans="2:11" hidden="1">
      <c r="F43"/>
    </row>
    <row r="44" spans="2:11" hidden="1">
      <c r="F44"/>
    </row>
  </sheetData>
  <mergeCells count="2">
    <mergeCell ref="B10:C10"/>
    <mergeCell ref="B17:C17"/>
  </mergeCells>
  <phoneticPr fontId="31" type="noConversion"/>
  <pageMargins left="0.511811024" right="0.511811024" top="0.78740157499999996" bottom="0.78740157499999996" header="0.31496062000000002" footer="0.31496062000000002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DAB84-9B60-4FC5-9826-8C5FC1F35B68}">
  <sheetPr>
    <tabColor theme="3"/>
  </sheetPr>
  <dimension ref="A1:M43"/>
  <sheetViews>
    <sheetView showGridLines="0" topLeftCell="A7" zoomScaleNormal="100" workbookViewId="0">
      <selection activeCell="D35" sqref="D35"/>
    </sheetView>
  </sheetViews>
  <sheetFormatPr defaultColWidth="0" defaultRowHeight="15" zeroHeight="1"/>
  <cols>
    <col min="1" max="1" width="9.140625" style="1" customWidth="1"/>
    <col min="2" max="2" width="40.85546875" style="1" bestFit="1" customWidth="1"/>
    <col min="3" max="3" width="19.7109375" style="1" bestFit="1" customWidth="1"/>
    <col min="4" max="4" width="19.140625" style="1" bestFit="1" customWidth="1"/>
    <col min="5" max="5" width="14" style="1" customWidth="1"/>
    <col min="6" max="6" width="13.5703125" style="1" customWidth="1"/>
    <col min="7" max="7" width="18.140625" style="1" customWidth="1"/>
    <col min="8" max="8" width="29" style="1" customWidth="1"/>
    <col min="9" max="10" width="29" customWidth="1"/>
    <col min="11" max="11" width="20.5703125" customWidth="1"/>
    <col min="12" max="12" width="17.28515625" customWidth="1"/>
    <col min="13" max="13" width="20.85546875" hidden="1" customWidth="1"/>
    <col min="14" max="16384" width="1.42578125" hidden="1"/>
  </cols>
  <sheetData>
    <row r="1" spans="1:12" s="1" customFormat="1" ht="3" customHeight="1"/>
    <row r="2" spans="1:12" s="1" customFormat="1" ht="15" customHeight="1"/>
    <row r="3" spans="1:12" s="1" customFormat="1" ht="15" customHeight="1">
      <c r="A3" s="123"/>
      <c r="B3" s="123"/>
      <c r="C3" s="124"/>
      <c r="D3" s="124"/>
      <c r="E3" s="124"/>
      <c r="F3" s="124"/>
      <c r="G3" s="124"/>
      <c r="H3" s="124"/>
      <c r="I3" s="123"/>
      <c r="J3" s="123"/>
      <c r="K3" s="123"/>
      <c r="L3" s="123"/>
    </row>
    <row r="4" spans="1:12" s="1" customFormat="1" ht="15" customHeight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s="1" customFormat="1" ht="20.100000000000001" customHeight="1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s="1" customFormat="1" ht="15" customHeight="1"/>
    <row r="7" spans="1:12" s="1" customFormat="1" ht="15" customHeight="1">
      <c r="B7" s="111" t="s">
        <v>126</v>
      </c>
      <c r="C7" s="2"/>
      <c r="D7" s="2"/>
      <c r="E7" s="2"/>
      <c r="F7" s="2"/>
    </row>
    <row r="8" spans="1:12" s="1" customFormat="1" ht="15" customHeight="1">
      <c r="B8" s="531"/>
      <c r="C8" s="531"/>
      <c r="D8" s="531"/>
      <c r="E8" s="531"/>
      <c r="F8" s="531"/>
    </row>
    <row r="9" spans="1:12" s="1" customFormat="1" ht="15" customHeight="1">
      <c r="B9" s="511" t="s">
        <v>127</v>
      </c>
      <c r="C9" s="511"/>
      <c r="D9" s="511"/>
      <c r="E9" s="511"/>
      <c r="F9" s="511"/>
      <c r="G9" s="511"/>
    </row>
    <row r="10" spans="1:12" s="1" customFormat="1" ht="15" customHeight="1">
      <c r="B10" s="512" t="s">
        <v>34</v>
      </c>
      <c r="C10" s="512"/>
      <c r="D10" s="215" t="s">
        <v>128</v>
      </c>
      <c r="E10" s="215" t="s">
        <v>129</v>
      </c>
      <c r="F10" s="215" t="s">
        <v>130</v>
      </c>
      <c r="G10" s="215" t="s">
        <v>131</v>
      </c>
    </row>
    <row r="11" spans="1:12" s="8" customFormat="1" ht="15" customHeight="1">
      <c r="B11" s="216" t="s">
        <v>132</v>
      </c>
      <c r="C11" s="217" t="s">
        <v>133</v>
      </c>
      <c r="D11" s="218">
        <f>'4ª RTP'!E26</f>
        <v>652383793.29318869</v>
      </c>
      <c r="E11" s="219">
        <f>D11/$D$16</f>
        <v>0.32396073206075415</v>
      </c>
      <c r="F11" s="219">
        <f>Índices_2025!E23</f>
        <v>3.8978363652583115E-2</v>
      </c>
      <c r="G11" s="220">
        <f>E11*F11</f>
        <v>1.2627459223421117E-2</v>
      </c>
      <c r="H11" s="89"/>
      <c r="I11" s="167"/>
    </row>
    <row r="12" spans="1:12" s="8" customFormat="1" ht="15" customHeight="1">
      <c r="B12" s="216" t="s">
        <v>134</v>
      </c>
      <c r="C12" s="217" t="s">
        <v>135</v>
      </c>
      <c r="D12" s="218">
        <f>'4ª RTP'!E32</f>
        <v>208041454.10000002</v>
      </c>
      <c r="E12" s="219">
        <f t="shared" ref="E12:E14" si="0">D12/$D$16</f>
        <v>0.10330922144617209</v>
      </c>
      <c r="F12" s="219">
        <f>Índices_2025!H52</f>
        <v>-0.12943530343805398</v>
      </c>
      <c r="G12" s="220">
        <f>E12*F12</f>
        <v>-1.3371860425834398E-2</v>
      </c>
      <c r="H12" s="89"/>
      <c r="I12" s="167"/>
    </row>
    <row r="13" spans="1:12" s="8" customFormat="1" ht="15" customHeight="1">
      <c r="B13" s="216" t="s">
        <v>136</v>
      </c>
      <c r="C13" s="217" t="s">
        <v>137</v>
      </c>
      <c r="D13" s="218">
        <f>'4ª RTP'!E28</f>
        <v>126277424.02000003</v>
      </c>
      <c r="E13" s="219">
        <f t="shared" si="0"/>
        <v>6.2706840894621252E-2</v>
      </c>
      <c r="F13" s="219">
        <f>Índices_2025!F23</f>
        <v>4.2643475811562581E-2</v>
      </c>
      <c r="G13" s="220">
        <f>E13*F13</f>
        <v>2.6740376529092846E-3</v>
      </c>
      <c r="H13" s="89"/>
      <c r="I13" s="167"/>
    </row>
    <row r="14" spans="1:12" s="8" customFormat="1" ht="15" customHeight="1">
      <c r="B14" s="221" t="s">
        <v>138</v>
      </c>
      <c r="C14" s="222" t="s">
        <v>139</v>
      </c>
      <c r="D14" s="223">
        <f>'4ª RTP'!E36</f>
        <v>667378494.50257242</v>
      </c>
      <c r="E14" s="219">
        <f t="shared" si="0"/>
        <v>0.33140680051120247</v>
      </c>
      <c r="F14" s="219">
        <f>Índices_2025!F23</f>
        <v>4.2643475811562581E-2</v>
      </c>
      <c r="G14" s="220">
        <f>E14*F14</f>
        <v>1.4132337881386809E-2</v>
      </c>
      <c r="H14" s="89"/>
      <c r="I14" s="167"/>
    </row>
    <row r="15" spans="1:12" s="8" customFormat="1" ht="15" customHeight="1">
      <c r="B15" s="221" t="s">
        <v>140</v>
      </c>
      <c r="C15" s="222" t="s">
        <v>141</v>
      </c>
      <c r="D15" s="218">
        <f>SUM('4ª RTP'!E27,'4ª RTP'!E29,'4ª RTP'!E30,'4ª RTP'!E31,'4ª RTP'!E34)</f>
        <v>359693124.39187902</v>
      </c>
      <c r="E15" s="219">
        <f>D15/$D$16</f>
        <v>0.1786164050872501</v>
      </c>
      <c r="F15" s="224">
        <f>Índices_2025!F23</f>
        <v>4.2643475811562581E-2</v>
      </c>
      <c r="G15" s="220">
        <f>E15*F15</f>
        <v>7.6168243498864136E-3</v>
      </c>
      <c r="H15" s="89"/>
      <c r="I15" s="167"/>
    </row>
    <row r="16" spans="1:12" s="8" customFormat="1" ht="15" customHeight="1">
      <c r="B16" s="221"/>
      <c r="C16" s="225" t="s">
        <v>72</v>
      </c>
      <c r="D16" s="226">
        <f>SUM(D11:D15)</f>
        <v>2013774290.3076401</v>
      </c>
      <c r="E16" s="219">
        <f>SUM(E11:E15)</f>
        <v>1</v>
      </c>
      <c r="F16" s="227"/>
      <c r="G16" s="227">
        <f>SUM(G11:G15)</f>
        <v>2.3678798681769225E-2</v>
      </c>
    </row>
    <row r="17" spans="1:11" s="8" customFormat="1" ht="25.5" customHeight="1">
      <c r="B17" s="512" t="s">
        <v>142</v>
      </c>
      <c r="C17" s="512"/>
      <c r="D17" s="512"/>
      <c r="E17" s="512"/>
      <c r="F17" s="512"/>
      <c r="G17" s="228">
        <f>SUM(G11:G15)</f>
        <v>2.3678798681769225E-2</v>
      </c>
      <c r="H17" s="89"/>
    </row>
    <row r="18" spans="1:11" s="8" customFormat="1" ht="15" customHeight="1">
      <c r="B18" s="95" t="s">
        <v>143</v>
      </c>
      <c r="C18" s="445" t="s">
        <v>144</v>
      </c>
      <c r="D18" s="444"/>
      <c r="E18" s="446">
        <f>SUM(E13:E15)</f>
        <v>0.5727300464930738</v>
      </c>
      <c r="F18" s="438"/>
      <c r="G18" s="439"/>
    </row>
    <row r="19" spans="1:11" s="8" customFormat="1" ht="15" customHeight="1">
      <c r="B19" s="136"/>
      <c r="C19" s="136"/>
      <c r="D19" s="114"/>
      <c r="E19" s="81"/>
      <c r="F19" s="81"/>
      <c r="G19" s="440"/>
      <c r="H19" s="167"/>
      <c r="J19" s="8" t="s">
        <v>145</v>
      </c>
    </row>
    <row r="20" spans="1:11" s="8" customFormat="1" ht="15" customHeight="1">
      <c r="B20" s="512" t="s">
        <v>146</v>
      </c>
      <c r="C20" s="532"/>
      <c r="D20" s="136"/>
      <c r="E20" s="441"/>
      <c r="F20" s="441"/>
      <c r="G20" s="442"/>
      <c r="H20" s="81"/>
      <c r="I20" s="81"/>
      <c r="J20" s="81"/>
      <c r="K20" s="81"/>
    </row>
    <row r="21" spans="1:11" s="8" customFormat="1" ht="15" customHeight="1">
      <c r="B21" s="229" t="s">
        <v>147</v>
      </c>
      <c r="C21" s="219">
        <f>+G17</f>
        <v>2.3678798681769225E-2</v>
      </c>
      <c r="D21" s="176"/>
      <c r="E21" s="443"/>
      <c r="F21" s="443"/>
      <c r="G21" s="443"/>
      <c r="H21" s="81"/>
      <c r="I21" s="81"/>
      <c r="J21" s="81"/>
      <c r="K21" s="81"/>
    </row>
    <row r="22" spans="1:11" s="8" customFormat="1" ht="15" customHeight="1">
      <c r="B22" s="229" t="s">
        <v>148</v>
      </c>
      <c r="C22" s="224">
        <v>1.06962318749912E-2</v>
      </c>
      <c r="D22" s="175"/>
      <c r="E22" s="137"/>
      <c r="F22" s="137"/>
      <c r="G22" s="137"/>
      <c r="H22" s="81"/>
      <c r="I22" s="81"/>
      <c r="J22" s="81"/>
      <c r="K22" s="81"/>
    </row>
    <row r="23" spans="1:11" s="1" customFormat="1" ht="15" customHeight="1">
      <c r="B23" s="230" t="s">
        <v>149</v>
      </c>
      <c r="C23" s="231">
        <f>C21-C22</f>
        <v>1.2982566806778026E-2</v>
      </c>
      <c r="D23" s="306"/>
      <c r="E23" s="137"/>
      <c r="F23" s="137"/>
      <c r="G23" s="137"/>
    </row>
    <row r="24" spans="1:11" ht="15" customHeight="1">
      <c r="B24" s="138"/>
      <c r="C24" s="138"/>
      <c r="D24" s="168"/>
      <c r="E24" s="135"/>
      <c r="F24" s="135"/>
      <c r="G24" s="135"/>
      <c r="I24" s="4"/>
      <c r="J24" s="4"/>
      <c r="K24" s="4"/>
    </row>
    <row r="25" spans="1:11" ht="15" customHeight="1">
      <c r="A25" s="8"/>
      <c r="B25" s="512" t="s">
        <v>150</v>
      </c>
      <c r="C25" s="512"/>
      <c r="D25" s="307"/>
      <c r="E25" s="135"/>
      <c r="F25" s="135"/>
      <c r="G25" s="135"/>
      <c r="I25" s="4"/>
    </row>
    <row r="26" spans="1:11" ht="15" customHeight="1">
      <c r="A26" s="8"/>
      <c r="B26" s="232" t="s">
        <v>151</v>
      </c>
      <c r="C26" s="233">
        <f>+'RTA 2026'!D22</f>
        <v>6.6926602835718727</v>
      </c>
      <c r="D26" s="135"/>
      <c r="E26" s="135"/>
      <c r="F26" s="135"/>
      <c r="G26" s="135"/>
      <c r="I26" s="5"/>
    </row>
    <row r="27" spans="1:11" ht="15" customHeight="1">
      <c r="A27" s="8"/>
      <c r="B27" s="232" t="s">
        <v>152</v>
      </c>
      <c r="C27" s="233">
        <f>C26*(1+C23)</f>
        <v>6.7795481928184147</v>
      </c>
      <c r="D27" s="135"/>
      <c r="E27" s="135"/>
      <c r="F27" s="135"/>
      <c r="G27" s="135"/>
    </row>
    <row r="28" spans="1:11" ht="15" customHeight="1">
      <c r="B28" s="134"/>
      <c r="C28" s="308"/>
      <c r="D28" s="135"/>
      <c r="E28" s="134"/>
      <c r="F28" s="134"/>
      <c r="G28" s="134"/>
    </row>
    <row r="29" spans="1:11" ht="15" customHeight="1">
      <c r="B29" s="134"/>
      <c r="C29" s="310"/>
      <c r="D29" s="134"/>
      <c r="F29"/>
      <c r="G29"/>
      <c r="H29"/>
    </row>
    <row r="30" spans="1:11" ht="15" customHeight="1">
      <c r="B30" s="134"/>
      <c r="C30" s="308"/>
      <c r="D30" s="134"/>
      <c r="F30"/>
      <c r="G30"/>
      <c r="H30"/>
    </row>
    <row r="31" spans="1:11" ht="15" customHeight="1">
      <c r="D31" s="134"/>
      <c r="F31"/>
      <c r="G31"/>
      <c r="H31"/>
    </row>
    <row r="32" spans="1:11" ht="15" customHeight="1">
      <c r="B32" s="24"/>
      <c r="C32" s="25"/>
    </row>
    <row r="33" spans="4:4" s="1" customFormat="1" ht="15" customHeight="1"/>
    <row r="34" spans="4:4" s="1" customFormat="1" ht="15" customHeight="1"/>
    <row r="35" spans="4:4" s="1" customFormat="1" ht="15" customHeight="1"/>
    <row r="36" spans="4:4" s="1" customFormat="1" ht="15" hidden="1" customHeight="1"/>
    <row r="39" spans="4:4" s="1" customFormat="1" ht="14.25" hidden="1">
      <c r="D39" s="19"/>
    </row>
    <row r="40" spans="4:4" s="1" customFormat="1" ht="14.25" hidden="1">
      <c r="D40" s="19"/>
    </row>
    <row r="41" spans="4:4" s="1" customFormat="1" ht="14.25" hidden="1">
      <c r="D41" s="19"/>
    </row>
    <row r="42" spans="4:4" s="1" customFormat="1" ht="14.25" hidden="1">
      <c r="D42" s="19"/>
    </row>
    <row r="43" spans="4:4" s="1" customFormat="1" ht="14.25" hidden="1">
      <c r="D43" s="19"/>
    </row>
  </sheetData>
  <mergeCells count="6">
    <mergeCell ref="B8:F8"/>
    <mergeCell ref="B9:G9"/>
    <mergeCell ref="B17:F17"/>
    <mergeCell ref="B20:C20"/>
    <mergeCell ref="B25:C25"/>
    <mergeCell ref="B10:C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ABAD-1478-495E-BE42-4F88C1A5A942}">
  <sheetPr>
    <tabColor theme="3"/>
  </sheetPr>
  <dimension ref="A1:Q61"/>
  <sheetViews>
    <sheetView showGridLines="0" topLeftCell="A13" zoomScale="80" zoomScaleNormal="80" workbookViewId="0">
      <selection activeCell="J33" sqref="J33"/>
    </sheetView>
  </sheetViews>
  <sheetFormatPr defaultColWidth="0" defaultRowHeight="15" zeroHeight="1"/>
  <cols>
    <col min="1" max="1" width="3.42578125" customWidth="1"/>
    <col min="2" max="2" width="24.140625" customWidth="1"/>
    <col min="3" max="3" width="18.28515625" style="13" customWidth="1"/>
    <col min="4" max="4" width="16.140625" customWidth="1"/>
    <col min="5" max="7" width="16.28515625" bestFit="1" customWidth="1"/>
    <col min="8" max="8" width="17.28515625" customWidth="1"/>
    <col min="9" max="14" width="16.28515625" bestFit="1" customWidth="1"/>
    <col min="15" max="15" width="19.28515625" customWidth="1"/>
    <col min="16" max="16" width="17.85546875" bestFit="1" customWidth="1"/>
    <col min="17" max="17" width="4.7109375" customWidth="1"/>
    <col min="18" max="16384" width="9.140625" hidden="1"/>
  </cols>
  <sheetData>
    <row r="1" spans="1:17" ht="3" customHeight="1"/>
    <row r="2" spans="1:17"/>
    <row r="3" spans="1:17">
      <c r="A3" s="83"/>
      <c r="B3" s="83"/>
      <c r="C3" s="105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>
      <c r="A4" s="83"/>
      <c r="B4" s="83"/>
      <c r="C4" s="105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ht="20.100000000000001" customHeight="1">
      <c r="A5" s="83"/>
      <c r="B5" s="83"/>
      <c r="C5" s="105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7"/>
    <row r="7" spans="1:17" ht="18.75">
      <c r="B7" s="111" t="s">
        <v>153</v>
      </c>
      <c r="C7" s="102"/>
    </row>
    <row r="8" spans="1:17" ht="10.5" customHeight="1">
      <c r="I8" s="321"/>
    </row>
    <row r="9" spans="1:17">
      <c r="B9" s="511">
        <v>2025</v>
      </c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</row>
    <row r="10" spans="1:17">
      <c r="B10" s="262" t="s">
        <v>154</v>
      </c>
      <c r="C10" s="263" t="str">
        <f>UPPER("UN")</f>
        <v>UN</v>
      </c>
      <c r="D10" s="264" t="s">
        <v>155</v>
      </c>
      <c r="E10" s="264" t="s">
        <v>156</v>
      </c>
      <c r="F10" s="264" t="s">
        <v>157</v>
      </c>
      <c r="G10" s="264" t="s">
        <v>158</v>
      </c>
      <c r="H10" s="264" t="s">
        <v>159</v>
      </c>
      <c r="I10" s="264" t="s">
        <v>160</v>
      </c>
      <c r="J10" s="264" t="s">
        <v>161</v>
      </c>
      <c r="K10" s="264" t="s">
        <v>162</v>
      </c>
      <c r="L10" s="264" t="s">
        <v>163</v>
      </c>
      <c r="M10" s="264" t="s">
        <v>164</v>
      </c>
      <c r="N10" s="264" t="s">
        <v>165</v>
      </c>
      <c r="O10" s="264" t="s">
        <v>166</v>
      </c>
      <c r="P10" s="264" t="s">
        <v>167</v>
      </c>
    </row>
    <row r="11" spans="1:17">
      <c r="B11" s="265" t="s">
        <v>168</v>
      </c>
      <c r="C11" s="266" t="s">
        <v>169</v>
      </c>
      <c r="D11" s="267">
        <v>191542607.02000001</v>
      </c>
      <c r="E11" s="267">
        <v>200926104.62</v>
      </c>
      <c r="F11" s="267">
        <v>205356604.15000001</v>
      </c>
      <c r="G11" s="267">
        <v>195755384</v>
      </c>
      <c r="H11" s="267">
        <v>207350738.09</v>
      </c>
      <c r="I11" s="267">
        <v>212068258.75999999</v>
      </c>
      <c r="J11" s="267">
        <v>226663117.63999999</v>
      </c>
      <c r="K11" s="267">
        <v>236839371.12</v>
      </c>
      <c r="L11" s="267">
        <v>247295575.63999999</v>
      </c>
      <c r="M11" s="267">
        <v>253506555.44</v>
      </c>
      <c r="N11" s="267">
        <v>241349943.36000001</v>
      </c>
      <c r="O11" s="267">
        <v>220654796.62</v>
      </c>
      <c r="P11" s="267">
        <f>SUM(D11:O11)</f>
        <v>2639309056.4599996</v>
      </c>
    </row>
    <row r="12" spans="1:17">
      <c r="B12" s="243" t="s">
        <v>170</v>
      </c>
      <c r="C12" s="268" t="s">
        <v>171</v>
      </c>
      <c r="D12" s="242">
        <v>22397894</v>
      </c>
      <c r="E12" s="242">
        <v>21491661</v>
      </c>
      <c r="F12" s="242">
        <v>23791713</v>
      </c>
      <c r="G12" s="242">
        <v>22803122</v>
      </c>
      <c r="H12" s="242">
        <v>23676733</v>
      </c>
      <c r="I12" s="242">
        <v>22915269</v>
      </c>
      <c r="J12" s="242">
        <v>23635556</v>
      </c>
      <c r="K12" s="242">
        <v>24436992</v>
      </c>
      <c r="L12" s="242">
        <v>23864677</v>
      </c>
      <c r="M12" s="242">
        <v>24368006</v>
      </c>
      <c r="N12" s="242">
        <v>23125116</v>
      </c>
      <c r="O12" s="242">
        <v>23183003</v>
      </c>
      <c r="P12" s="269">
        <f>SUM(D12:O12)</f>
        <v>279689742</v>
      </c>
    </row>
    <row r="13" spans="1:17">
      <c r="B13" s="243" t="s">
        <v>172</v>
      </c>
      <c r="C13" s="268" t="s">
        <v>171</v>
      </c>
      <c r="D13" s="242">
        <v>13122515</v>
      </c>
      <c r="E13" s="242">
        <v>10978635</v>
      </c>
      <c r="F13" s="270">
        <v>11875699</v>
      </c>
      <c r="G13" s="270">
        <v>11472587</v>
      </c>
      <c r="H13" s="270">
        <v>11038242</v>
      </c>
      <c r="I13" s="270">
        <v>10231586</v>
      </c>
      <c r="J13" s="270">
        <v>10486227</v>
      </c>
      <c r="K13" s="270">
        <v>10596805</v>
      </c>
      <c r="L13" s="270">
        <v>10577614</v>
      </c>
      <c r="M13" s="270">
        <v>11182188</v>
      </c>
      <c r="N13" s="270">
        <v>11552668</v>
      </c>
      <c r="O13" s="242">
        <v>12544482</v>
      </c>
      <c r="P13" s="269">
        <f>SUM(D13:O13)</f>
        <v>135659248</v>
      </c>
    </row>
    <row r="14" spans="1:17">
      <c r="B14" s="271" t="s">
        <v>173</v>
      </c>
      <c r="C14" s="272" t="s">
        <v>171</v>
      </c>
      <c r="D14" s="273">
        <f t="shared" ref="D14:O14" si="0">SUM(D12:D13)</f>
        <v>35520409</v>
      </c>
      <c r="E14" s="273">
        <f t="shared" si="0"/>
        <v>32470296</v>
      </c>
      <c r="F14" s="273">
        <f t="shared" si="0"/>
        <v>35667412</v>
      </c>
      <c r="G14" s="273">
        <f t="shared" si="0"/>
        <v>34275709</v>
      </c>
      <c r="H14" s="273">
        <f t="shared" si="0"/>
        <v>34714975</v>
      </c>
      <c r="I14" s="273">
        <f t="shared" si="0"/>
        <v>33146855</v>
      </c>
      <c r="J14" s="273">
        <f t="shared" si="0"/>
        <v>34121783</v>
      </c>
      <c r="K14" s="273">
        <f t="shared" si="0"/>
        <v>35033797</v>
      </c>
      <c r="L14" s="273">
        <f t="shared" si="0"/>
        <v>34442291</v>
      </c>
      <c r="M14" s="273">
        <f t="shared" si="0"/>
        <v>35550194</v>
      </c>
      <c r="N14" s="273">
        <f t="shared" si="0"/>
        <v>34677784</v>
      </c>
      <c r="O14" s="273">
        <f t="shared" si="0"/>
        <v>35727485</v>
      </c>
      <c r="P14" s="273">
        <f>SUM(P12:P13)</f>
        <v>415348990</v>
      </c>
    </row>
    <row r="15" spans="1:17">
      <c r="B15" s="274" t="s">
        <v>174</v>
      </c>
      <c r="C15" s="275" t="s">
        <v>171</v>
      </c>
      <c r="D15" s="242">
        <v>13545476</v>
      </c>
      <c r="E15" s="242">
        <v>13866231</v>
      </c>
      <c r="F15" s="242">
        <v>14212425</v>
      </c>
      <c r="G15" s="242">
        <v>13459207</v>
      </c>
      <c r="H15" s="242">
        <v>14183979</v>
      </c>
      <c r="I15" s="242">
        <v>13736878</v>
      </c>
      <c r="J15" s="242">
        <v>13908617</v>
      </c>
      <c r="K15" s="242">
        <v>14551260</v>
      </c>
      <c r="L15" s="242">
        <v>14877006</v>
      </c>
      <c r="M15" s="242">
        <v>15102873</v>
      </c>
      <c r="N15" s="242">
        <v>14953603</v>
      </c>
      <c r="O15" s="242">
        <v>13741453</v>
      </c>
      <c r="P15" s="269">
        <f>SUM(D15:O15)</f>
        <v>170139008</v>
      </c>
    </row>
    <row r="16" spans="1:17">
      <c r="B16" s="276" t="s">
        <v>175</v>
      </c>
      <c r="C16" s="275" t="s">
        <v>171</v>
      </c>
      <c r="D16" s="242">
        <v>11855098</v>
      </c>
      <c r="E16" s="242">
        <v>12155841</v>
      </c>
      <c r="F16" s="242">
        <v>12418259</v>
      </c>
      <c r="G16" s="242">
        <v>11874038</v>
      </c>
      <c r="H16" s="242">
        <v>12429711</v>
      </c>
      <c r="I16" s="242">
        <v>12073716</v>
      </c>
      <c r="J16" s="242">
        <v>12172123</v>
      </c>
      <c r="K16" s="242">
        <v>12682771</v>
      </c>
      <c r="L16" s="242">
        <v>13073226</v>
      </c>
      <c r="M16" s="242">
        <v>15380666</v>
      </c>
      <c r="N16" s="242">
        <v>13015290</v>
      </c>
      <c r="O16" s="242">
        <v>12024004</v>
      </c>
      <c r="P16" s="269">
        <f>SUM(D16:O16)</f>
        <v>151154743</v>
      </c>
    </row>
    <row r="17" spans="2:16">
      <c r="B17" s="277" t="s">
        <v>176</v>
      </c>
      <c r="C17" s="272" t="s">
        <v>171</v>
      </c>
      <c r="D17" s="273">
        <f t="shared" ref="D17:O17" si="1">SUM(D15:D16)</f>
        <v>25400574</v>
      </c>
      <c r="E17" s="273">
        <f t="shared" si="1"/>
        <v>26022072</v>
      </c>
      <c r="F17" s="273">
        <f t="shared" si="1"/>
        <v>26630684</v>
      </c>
      <c r="G17" s="273">
        <f t="shared" si="1"/>
        <v>25333245</v>
      </c>
      <c r="H17" s="273">
        <f t="shared" si="1"/>
        <v>26613690</v>
      </c>
      <c r="I17" s="273">
        <f t="shared" si="1"/>
        <v>25810594</v>
      </c>
      <c r="J17" s="273">
        <f t="shared" si="1"/>
        <v>26080740</v>
      </c>
      <c r="K17" s="273">
        <f t="shared" si="1"/>
        <v>27234031</v>
      </c>
      <c r="L17" s="273">
        <f t="shared" si="1"/>
        <v>27950232</v>
      </c>
      <c r="M17" s="273">
        <f t="shared" si="1"/>
        <v>30483539</v>
      </c>
      <c r="N17" s="273">
        <f t="shared" si="1"/>
        <v>27968893</v>
      </c>
      <c r="O17" s="273">
        <f t="shared" si="1"/>
        <v>25765457</v>
      </c>
      <c r="P17" s="273">
        <f>P15+P16</f>
        <v>321293751</v>
      </c>
    </row>
    <row r="18" spans="2:16">
      <c r="B18" s="277" t="s">
        <v>177</v>
      </c>
      <c r="C18" s="272" t="s">
        <v>178</v>
      </c>
      <c r="D18" s="278">
        <f>D11/D17</f>
        <v>7.5408771085251853</v>
      </c>
      <c r="E18" s="278">
        <f t="shared" ref="E18:N18" si="2">E11/E17</f>
        <v>7.7213722496809636</v>
      </c>
      <c r="F18" s="278">
        <f t="shared" si="2"/>
        <v>7.7112778684167482</v>
      </c>
      <c r="G18" s="278">
        <f t="shared" si="2"/>
        <v>7.7272131540984974</v>
      </c>
      <c r="H18" s="278">
        <f t="shared" si="2"/>
        <v>7.7911307334683766</v>
      </c>
      <c r="I18" s="278">
        <f t="shared" si="2"/>
        <v>8.2163261628151592</v>
      </c>
      <c r="J18" s="278">
        <f t="shared" si="2"/>
        <v>8.6908238661939805</v>
      </c>
      <c r="K18" s="278">
        <f t="shared" si="2"/>
        <v>8.6964493475093718</v>
      </c>
      <c r="L18" s="278">
        <f t="shared" si="2"/>
        <v>8.8477110186419914</v>
      </c>
      <c r="M18" s="278">
        <f t="shared" si="2"/>
        <v>8.3161786247981251</v>
      </c>
      <c r="N18" s="278">
        <f t="shared" si="2"/>
        <v>8.6292275979603481</v>
      </c>
      <c r="O18" s="453">
        <f t="shared" ref="O18" si="3">O11/O17</f>
        <v>8.5639776007078012</v>
      </c>
      <c r="P18" s="453">
        <f>P11/P17</f>
        <v>8.2146292862695596</v>
      </c>
    </row>
    <row r="19" spans="2:16">
      <c r="B19" s="279" t="s">
        <v>179</v>
      </c>
      <c r="C19" s="280" t="s">
        <v>169</v>
      </c>
      <c r="D19" s="281">
        <f>D11</f>
        <v>191542607.02000001</v>
      </c>
      <c r="E19" s="281">
        <f t="shared" ref="E19:N19" si="4">E11</f>
        <v>200926104.62</v>
      </c>
      <c r="F19" s="281">
        <f t="shared" si="4"/>
        <v>205356604.15000001</v>
      </c>
      <c r="G19" s="281">
        <f t="shared" si="4"/>
        <v>195755384</v>
      </c>
      <c r="H19" s="281">
        <f t="shared" si="4"/>
        <v>207350738.09</v>
      </c>
      <c r="I19" s="281">
        <f t="shared" si="4"/>
        <v>212068258.75999999</v>
      </c>
      <c r="J19" s="281">
        <f t="shared" si="4"/>
        <v>226663117.63999999</v>
      </c>
      <c r="K19" s="281">
        <f t="shared" si="4"/>
        <v>236839371.12</v>
      </c>
      <c r="L19" s="281">
        <f t="shared" si="4"/>
        <v>247295575.63999999</v>
      </c>
      <c r="M19" s="281">
        <f t="shared" si="4"/>
        <v>253506555.44</v>
      </c>
      <c r="N19" s="281">
        <f t="shared" si="4"/>
        <v>241349943.36000001</v>
      </c>
      <c r="O19" s="281">
        <f t="shared" ref="O19" si="5">O11</f>
        <v>220654796.62</v>
      </c>
      <c r="P19" s="281">
        <f t="shared" ref="P19:P20" si="6">SUM(D19:O19)</f>
        <v>2639309056.4599996</v>
      </c>
    </row>
    <row r="20" spans="2:16">
      <c r="B20" s="282" t="s">
        <v>180</v>
      </c>
      <c r="C20" s="283" t="s">
        <v>169</v>
      </c>
      <c r="D20" s="281">
        <f>D14*D18</f>
        <v>267855039.11355197</v>
      </c>
      <c r="E20" s="281">
        <f t="shared" ref="E20:N20" si="7">E14*E18</f>
        <v>250715242.4733268</v>
      </c>
      <c r="F20" s="281">
        <f t="shared" si="7"/>
        <v>275041324.77930194</v>
      </c>
      <c r="G20" s="281">
        <f t="shared" si="7"/>
        <v>264855709.45085225</v>
      </c>
      <c r="H20" s="281">
        <f t="shared" si="7"/>
        <v>270468908.63408637</v>
      </c>
      <c r="I20" s="281">
        <f t="shared" si="7"/>
        <v>272345371.95154047</v>
      </c>
      <c r="J20" s="281">
        <f t="shared" si="7"/>
        <v>296546406.05349201</v>
      </c>
      <c r="K20" s="281">
        <f t="shared" si="7"/>
        <v>304669641.06142581</v>
      </c>
      <c r="L20" s="281">
        <f t="shared" si="7"/>
        <v>304735437.58797389</v>
      </c>
      <c r="M20" s="281">
        <f t="shared" si="7"/>
        <v>295641763.45022655</v>
      </c>
      <c r="N20" s="281">
        <f t="shared" si="7"/>
        <v>299242490.72890776</v>
      </c>
      <c r="O20" s="281">
        <f t="shared" ref="O20" si="8">O14*O18</f>
        <v>305969381.26962394</v>
      </c>
      <c r="P20" s="281">
        <f t="shared" si="6"/>
        <v>3408086716.5543098</v>
      </c>
    </row>
    <row r="21" spans="2:16" ht="15" customHeight="1">
      <c r="B21" s="240" t="s">
        <v>181</v>
      </c>
      <c r="C21" s="284" t="s">
        <v>169</v>
      </c>
      <c r="D21" s="285">
        <f>(D14*D18)*2.5%</f>
        <v>6696375.9778387994</v>
      </c>
      <c r="E21" s="285">
        <f t="shared" ref="E21:N21" si="9">(E14*E18)*2.5%</f>
        <v>6267881.0618331702</v>
      </c>
      <c r="F21" s="285">
        <f t="shared" si="9"/>
        <v>6876033.1194825489</v>
      </c>
      <c r="G21" s="285">
        <f t="shared" si="9"/>
        <v>6621392.7362713069</v>
      </c>
      <c r="H21" s="285">
        <f t="shared" si="9"/>
        <v>6761722.71585216</v>
      </c>
      <c r="I21" s="285">
        <f t="shared" si="9"/>
        <v>6808634.2987885121</v>
      </c>
      <c r="J21" s="285">
        <f t="shared" si="9"/>
        <v>7413660.1513373004</v>
      </c>
      <c r="K21" s="285">
        <f t="shared" si="9"/>
        <v>7616741.0265356451</v>
      </c>
      <c r="L21" s="285">
        <f t="shared" si="9"/>
        <v>7618385.9396993481</v>
      </c>
      <c r="M21" s="281">
        <f>(M14*M18)*2.5%+34577.16</f>
        <v>7425621.2462556642</v>
      </c>
      <c r="N21" s="285">
        <f t="shared" si="9"/>
        <v>7481062.2682226943</v>
      </c>
      <c r="O21" s="454">
        <f>(O14*O18)*2.5%</f>
        <v>7649234.5317405984</v>
      </c>
      <c r="P21" s="324">
        <f>SUM(D21:O21)</f>
        <v>85236745.073857754</v>
      </c>
    </row>
    <row r="22" spans="2:16">
      <c r="B22" s="240" t="s">
        <v>182</v>
      </c>
      <c r="C22" s="284" t="s">
        <v>169</v>
      </c>
      <c r="D22" s="285">
        <f>(D17*D18)*1%</f>
        <v>1915426.0702000002</v>
      </c>
      <c r="E22" s="285">
        <f t="shared" ref="E22:N22" si="10">(E17*E18)*1%</f>
        <v>2009261.0462</v>
      </c>
      <c r="F22" s="285">
        <f t="shared" si="10"/>
        <v>2053566.0415000001</v>
      </c>
      <c r="G22" s="285">
        <f t="shared" si="10"/>
        <v>1957553.84</v>
      </c>
      <c r="H22" s="285">
        <f t="shared" si="10"/>
        <v>2073507.3809</v>
      </c>
      <c r="I22" s="285">
        <f t="shared" si="10"/>
        <v>2120682.5875999997</v>
      </c>
      <c r="J22" s="285">
        <f t="shared" si="10"/>
        <v>2266631.1763999998</v>
      </c>
      <c r="K22" s="285">
        <f t="shared" si="10"/>
        <v>2368393.7112000003</v>
      </c>
      <c r="L22" s="285">
        <f t="shared" si="10"/>
        <v>2472955.7563999998</v>
      </c>
      <c r="M22" s="281">
        <f>(M17*M18)*1%-82252.18</f>
        <v>2452813.3744000001</v>
      </c>
      <c r="N22" s="285">
        <f t="shared" si="10"/>
        <v>2413499.4336000001</v>
      </c>
      <c r="O22" s="285">
        <f>(O17*O18)*1%</f>
        <v>2206547.9662000006</v>
      </c>
      <c r="P22" s="324">
        <f>SUM(D22:O22)</f>
        <v>26310838.384600002</v>
      </c>
    </row>
    <row r="23" spans="2:16" ht="15" customHeight="1">
      <c r="B23" s="286" t="s">
        <v>72</v>
      </c>
      <c r="C23" s="214"/>
      <c r="D23" s="378">
        <f>+D22+D21</f>
        <v>8611802.0480387993</v>
      </c>
      <c r="E23" s="378">
        <f t="shared" ref="E23:N23" si="11">+E22+E21</f>
        <v>8277142.10803317</v>
      </c>
      <c r="F23" s="378">
        <f t="shared" si="11"/>
        <v>8929599.1609825492</v>
      </c>
      <c r="G23" s="378">
        <f t="shared" si="11"/>
        <v>8578946.5762713067</v>
      </c>
      <c r="H23" s="378">
        <f t="shared" si="11"/>
        <v>8835230.0967521593</v>
      </c>
      <c r="I23" s="378">
        <f t="shared" si="11"/>
        <v>8929316.8863885123</v>
      </c>
      <c r="J23" s="378">
        <f t="shared" si="11"/>
        <v>9680291.3277372997</v>
      </c>
      <c r="K23" s="378">
        <f t="shared" si="11"/>
        <v>9985134.7377356458</v>
      </c>
      <c r="L23" s="378">
        <f t="shared" si="11"/>
        <v>10091341.696099348</v>
      </c>
      <c r="M23" s="378">
        <f t="shared" si="11"/>
        <v>9878434.6206556633</v>
      </c>
      <c r="N23" s="378">
        <f t="shared" si="11"/>
        <v>9894561.7018226944</v>
      </c>
      <c r="O23" s="378">
        <f>+O22+O21</f>
        <v>9855782.4979405999</v>
      </c>
      <c r="P23" s="378">
        <f>+P22+P21</f>
        <v>111547583.45845775</v>
      </c>
    </row>
    <row r="24" spans="2:16" ht="15" customHeight="1">
      <c r="D24" s="314"/>
      <c r="E24" s="315"/>
      <c r="F24" s="315"/>
      <c r="G24" s="315"/>
      <c r="H24" s="315"/>
      <c r="I24" s="315"/>
      <c r="J24" s="315"/>
      <c r="K24" s="315"/>
      <c r="L24" s="315"/>
      <c r="M24" s="179"/>
      <c r="N24" s="481"/>
      <c r="O24" s="179"/>
      <c r="P24" s="18"/>
    </row>
    <row r="25" spans="2:16" ht="15" customHeight="1">
      <c r="B25" s="480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18"/>
    </row>
    <row r="26" spans="2:16" ht="15" customHeight="1">
      <c r="B26" s="480"/>
      <c r="D26" s="314"/>
      <c r="E26" s="314"/>
      <c r="F26" s="314"/>
      <c r="G26" s="314"/>
      <c r="H26" s="314"/>
      <c r="I26" s="482"/>
      <c r="J26" s="314"/>
      <c r="K26" s="314"/>
      <c r="L26" s="314"/>
      <c r="M26" s="314"/>
      <c r="N26" s="314"/>
      <c r="O26" s="314"/>
      <c r="P26" s="18"/>
    </row>
    <row r="27" spans="2:16" ht="15" customHeight="1">
      <c r="D27" s="314"/>
      <c r="E27" s="314"/>
      <c r="F27" s="314"/>
      <c r="G27" s="314"/>
      <c r="H27" s="314"/>
      <c r="I27" s="482"/>
      <c r="J27" s="314"/>
      <c r="K27" s="314"/>
      <c r="L27" s="314"/>
      <c r="M27" s="314"/>
      <c r="N27" s="314"/>
      <c r="O27" s="314"/>
      <c r="P27" s="18"/>
    </row>
    <row r="28" spans="2:16" ht="15" customHeight="1">
      <c r="D28" s="314"/>
      <c r="E28" s="314"/>
      <c r="F28" s="314"/>
      <c r="G28" s="314"/>
      <c r="H28" s="314"/>
      <c r="I28" s="482"/>
      <c r="J28" s="314"/>
      <c r="K28" s="314"/>
      <c r="L28" s="314"/>
      <c r="M28" s="314"/>
      <c r="N28" s="314"/>
      <c r="O28" s="314"/>
      <c r="P28" s="18"/>
    </row>
    <row r="29" spans="2:16" ht="15" customHeight="1">
      <c r="D29" s="314"/>
      <c r="E29" s="315"/>
      <c r="F29" s="315"/>
      <c r="G29" s="315"/>
      <c r="H29" s="315"/>
      <c r="I29" s="315"/>
      <c r="J29" s="314"/>
      <c r="K29" s="315"/>
      <c r="L29" s="315"/>
      <c r="M29" s="179"/>
      <c r="N29" s="179"/>
      <c r="O29" s="179"/>
      <c r="P29" s="18"/>
    </row>
    <row r="30" spans="2:16" ht="15" customHeight="1"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03"/>
    </row>
    <row r="31" spans="2:16">
      <c r="B31" s="498">
        <v>2025</v>
      </c>
      <c r="C31" s="499"/>
      <c r="D31" s="499"/>
      <c r="E31" s="499"/>
      <c r="F31" s="499"/>
      <c r="G31" s="505"/>
      <c r="H31" s="178"/>
      <c r="I31" s="178"/>
      <c r="J31" s="178"/>
      <c r="K31" s="178"/>
      <c r="L31" s="178"/>
      <c r="M31" s="178"/>
      <c r="N31" s="178"/>
      <c r="P31" s="357"/>
    </row>
    <row r="32" spans="2:16" ht="18">
      <c r="B32" s="214" t="s">
        <v>183</v>
      </c>
      <c r="C32" s="214" t="s">
        <v>184</v>
      </c>
      <c r="D32" s="214" t="s">
        <v>185</v>
      </c>
      <c r="E32" s="214" t="s">
        <v>123</v>
      </c>
      <c r="F32" s="214" t="s">
        <v>18</v>
      </c>
      <c r="G32" s="214" t="s">
        <v>186</v>
      </c>
      <c r="L32" s="534" t="s">
        <v>187</v>
      </c>
      <c r="M32" s="534"/>
      <c r="N32" s="534"/>
      <c r="O32" s="361" t="s">
        <v>188</v>
      </c>
      <c r="P32" s="364">
        <v>0.32506585274205785</v>
      </c>
    </row>
    <row r="33" spans="2:16" ht="18">
      <c r="B33" s="288" t="s">
        <v>189</v>
      </c>
      <c r="C33" s="289">
        <f>+D23</f>
        <v>8611802.0480387993</v>
      </c>
      <c r="D33" s="289">
        <f t="shared" ref="D33:D44" si="12">($P$32)*E33</f>
        <v>8256859.1694319379</v>
      </c>
      <c r="E33" s="289">
        <f>Volume_2025!$D$130</f>
        <v>25400573.759999998</v>
      </c>
      <c r="F33" s="290">
        <f>Índices_2025!$F$22/Índices_2025!F11-1</f>
        <v>4.0978028251399845E-2</v>
      </c>
      <c r="G33" s="291">
        <f>(C33-D33)*(1+F33)</f>
        <v>369487.73791404662</v>
      </c>
      <c r="L33" s="256" t="s">
        <v>190</v>
      </c>
      <c r="M33" s="256"/>
      <c r="N33" s="256"/>
      <c r="O33" s="362" t="s">
        <v>191</v>
      </c>
      <c r="P33" s="258">
        <f>+G45+'Outros CF'!C33</f>
        <v>40356439.558946535</v>
      </c>
    </row>
    <row r="34" spans="2:16">
      <c r="B34" s="288" t="s">
        <v>192</v>
      </c>
      <c r="C34" s="289">
        <f>+E23</f>
        <v>8277142.10803317</v>
      </c>
      <c r="D34" s="289">
        <f t="shared" si="12"/>
        <v>8458886.8947688863</v>
      </c>
      <c r="E34" s="289">
        <f>Volume_2025!$E$130</f>
        <v>26022071.600000001</v>
      </c>
      <c r="F34" s="290">
        <f>Índices_2025!$F$22/Índices_2025!F12-1</f>
        <v>2.7516887507754939E-2</v>
      </c>
      <c r="G34" s="291">
        <f t="shared" ref="G34:G44" si="13">(C34-D34)*(1+F34)</f>
        <v>-186745.83758744388</v>
      </c>
      <c r="L34" s="256" t="s">
        <v>61</v>
      </c>
      <c r="M34" s="256"/>
      <c r="N34" s="256"/>
      <c r="O34" s="363" t="s">
        <v>123</v>
      </c>
      <c r="P34" s="302">
        <f>Volume_2025!P130</f>
        <v>321293750.14999998</v>
      </c>
    </row>
    <row r="35" spans="2:16">
      <c r="B35" s="288" t="s">
        <v>193</v>
      </c>
      <c r="C35" s="289">
        <f>+F23</f>
        <v>8929599.1609825492</v>
      </c>
      <c r="D35" s="289">
        <f t="shared" si="12"/>
        <v>8656725.9060445204</v>
      </c>
      <c r="E35" s="289">
        <f>Volume_2025!$F$130</f>
        <v>26630683.700000003</v>
      </c>
      <c r="F35" s="290">
        <f>Índices_2025!$F$22/Índices_2025!F13-1</f>
        <v>2.1794578062158232E-2</v>
      </c>
      <c r="G35" s="291">
        <f t="shared" si="13"/>
        <v>278820.4123938508</v>
      </c>
      <c r="L35" s="533" t="s">
        <v>194</v>
      </c>
      <c r="M35" s="533"/>
      <c r="N35" s="533"/>
      <c r="O35" s="320" t="s">
        <v>195</v>
      </c>
      <c r="P35" s="353">
        <f>P33/P34</f>
        <v>0.12560605221889823</v>
      </c>
    </row>
    <row r="36" spans="2:16">
      <c r="B36" s="288" t="s">
        <v>196</v>
      </c>
      <c r="C36" s="289">
        <f>+G23</f>
        <v>8578946.5762713067</v>
      </c>
      <c r="D36" s="289">
        <f t="shared" si="12"/>
        <v>8234972.7781260833</v>
      </c>
      <c r="E36" s="289">
        <f>Volume_2025!$G$130</f>
        <v>25333244.66</v>
      </c>
      <c r="F36" s="290">
        <f>Índices_2025!$F$22/Índices_2025!F14-1</f>
        <v>1.7418993092870982E-2</v>
      </c>
      <c r="G36" s="291">
        <f t="shared" si="13"/>
        <v>349965.47535924363</v>
      </c>
    </row>
    <row r="37" spans="2:16">
      <c r="B37" s="288" t="s">
        <v>197</v>
      </c>
      <c r="C37" s="289">
        <f>+H23</f>
        <v>8835230.0967521593</v>
      </c>
      <c r="D37" s="289">
        <f t="shared" si="12"/>
        <v>8651201.8539667297</v>
      </c>
      <c r="E37" s="289">
        <f>Volume_2025!$H$130</f>
        <v>26613690.060000002</v>
      </c>
      <c r="F37" s="290">
        <f>Índices_2025!$F$22/Índices_2025!F15-1</f>
        <v>1.478042508628663E-2</v>
      </c>
      <c r="G37" s="291">
        <f t="shared" si="13"/>
        <v>186748.25844168061</v>
      </c>
      <c r="L37" s="21"/>
    </row>
    <row r="38" spans="2:16">
      <c r="B38" s="275" t="s">
        <v>198</v>
      </c>
      <c r="C38" s="394">
        <f>+I23</f>
        <v>8929316.8863885123</v>
      </c>
      <c r="D38" s="394">
        <f t="shared" si="12"/>
        <v>8390142.7353864089</v>
      </c>
      <c r="E38" s="394">
        <f>Volume_2025!$I$130</f>
        <v>25810593.960000001</v>
      </c>
      <c r="F38" s="419">
        <f>Índices_2025!$F$22/Índices_2025!F16-1</f>
        <v>1.2350659171307843E-2</v>
      </c>
      <c r="G38" s="420">
        <f t="shared" si="13"/>
        <v>545833.30717510975</v>
      </c>
      <c r="L38" s="321"/>
      <c r="P38" s="376"/>
    </row>
    <row r="39" spans="2:16">
      <c r="B39" s="275" t="s">
        <v>199</v>
      </c>
      <c r="C39" s="394">
        <f>+J23</f>
        <v>9680291.3277372997</v>
      </c>
      <c r="D39" s="394">
        <f t="shared" si="12"/>
        <v>8477957.9492359944</v>
      </c>
      <c r="E39" s="394">
        <f>Volume_2025!$J$130</f>
        <v>26080739.879999999</v>
      </c>
      <c r="F39" s="419">
        <f>Índices_2025!$F$22/Índices_2025!F17-1</f>
        <v>9.7258857771025387E-3</v>
      </c>
      <c r="G39" s="420">
        <f t="shared" si="13"/>
        <v>1214027.135606607</v>
      </c>
      <c r="L39" s="321"/>
    </row>
    <row r="40" spans="2:16">
      <c r="B40" s="275" t="s">
        <v>200</v>
      </c>
      <c r="C40" s="394">
        <f>+K23</f>
        <v>9985134.7377356458</v>
      </c>
      <c r="D40" s="394">
        <f t="shared" si="12"/>
        <v>8852853.432602834</v>
      </c>
      <c r="E40" s="394">
        <f>Volume_2025!$K$130</f>
        <v>27234030.759999998</v>
      </c>
      <c r="F40" s="419">
        <f>Índices_2025!$F$22/Índices_2025!F18-1</f>
        <v>1.0838472892211959E-2</v>
      </c>
      <c r="G40" s="420">
        <f t="shared" si="13"/>
        <v>1144553.5053648523</v>
      </c>
      <c r="L40" s="71"/>
    </row>
    <row r="41" spans="2:16">
      <c r="B41" s="275" t="s">
        <v>201</v>
      </c>
      <c r="C41" s="394">
        <f>+L23</f>
        <v>10091341.696099348</v>
      </c>
      <c r="D41" s="394">
        <f t="shared" si="12"/>
        <v>9085666.0741834994</v>
      </c>
      <c r="E41" s="394">
        <f>Volume_2025!$L$130</f>
        <v>27950232.23</v>
      </c>
      <c r="F41" s="419">
        <f>Índices_2025!$F$22/Índices_2025!F19-1</f>
        <v>6.0102784866544745E-3</v>
      </c>
      <c r="G41" s="420">
        <f t="shared" si="13"/>
        <v>1011720.0124708026</v>
      </c>
    </row>
    <row r="42" spans="2:16">
      <c r="B42" s="275" t="s">
        <v>202</v>
      </c>
      <c r="C42" s="394">
        <f>+M23</f>
        <v>9878434.6206556633</v>
      </c>
      <c r="D42" s="394">
        <f t="shared" si="12"/>
        <v>9909157.5378682669</v>
      </c>
      <c r="E42" s="394">
        <f>Volume_2025!$M$130</f>
        <v>30483538.810000002</v>
      </c>
      <c r="F42" s="419">
        <f>Índices_2025!$F$22/Índices_2025!F20-1</f>
        <v>5.1061137600330042E-3</v>
      </c>
      <c r="G42" s="420">
        <f t="shared" si="13"/>
        <v>-30879.791922931243</v>
      </c>
      <c r="M42" s="483"/>
    </row>
    <row r="43" spans="2:16">
      <c r="B43" s="275" t="s">
        <v>203</v>
      </c>
      <c r="C43" s="394">
        <f>+N23</f>
        <v>9894561.7018226944</v>
      </c>
      <c r="D43" s="394">
        <f t="shared" si="12"/>
        <v>9091732.1443148125</v>
      </c>
      <c r="E43" s="394">
        <f>Volume_2025!$N$130</f>
        <v>27968893.280000001</v>
      </c>
      <c r="F43" s="419">
        <f>Índices_2025!$F$22/Índices_2025!F21-1</f>
        <v>3.2999319685482753E-3</v>
      </c>
      <c r="G43" s="420">
        <f t="shared" si="13"/>
        <v>805478.84042999765</v>
      </c>
    </row>
    <row r="44" spans="2:16">
      <c r="B44" s="275" t="s">
        <v>204</v>
      </c>
      <c r="C44" s="394">
        <f>+O23</f>
        <v>9855782.4979405999</v>
      </c>
      <c r="D44" s="394">
        <f t="shared" si="12"/>
        <v>8375470.3972734585</v>
      </c>
      <c r="E44" s="394">
        <f>Volume_2025!$O$130</f>
        <v>25765457.450000003</v>
      </c>
      <c r="F44" s="419">
        <f>Índices_2025!$F$22/Índices_2025!F22-1</f>
        <v>0</v>
      </c>
      <c r="G44" s="420">
        <f t="shared" si="13"/>
        <v>1480312.1006671414</v>
      </c>
    </row>
    <row r="45" spans="2:16">
      <c r="B45" s="214" t="s">
        <v>167</v>
      </c>
      <c r="C45" s="292">
        <f>SUM(C33:C44)</f>
        <v>111547583.45845774</v>
      </c>
      <c r="D45" s="292">
        <f>SUM(D33:D44)</f>
        <v>104441626.87320343</v>
      </c>
      <c r="E45" s="292">
        <f>SUM(E33:E44)</f>
        <v>321293750.14999998</v>
      </c>
      <c r="F45" s="292"/>
      <c r="G45" s="293">
        <f>SUM(G33:G44)</f>
        <v>7169321.1563129565</v>
      </c>
    </row>
    <row r="46" spans="2:16">
      <c r="O46" s="359"/>
      <c r="P46" s="358"/>
    </row>
    <row r="47" spans="2:16">
      <c r="O47" s="359"/>
      <c r="P47" s="360"/>
    </row>
    <row r="48" spans="2:16">
      <c r="D48" s="23"/>
    </row>
    <row r="49" spans="4:6">
      <c r="D49" s="177"/>
    </row>
    <row r="50" spans="4:6">
      <c r="D50" s="23"/>
    </row>
    <row r="51" spans="4:6">
      <c r="D51" s="23"/>
    </row>
    <row r="52" spans="4:6">
      <c r="D52" s="23"/>
      <c r="E52" s="174"/>
      <c r="F52" s="174"/>
    </row>
    <row r="53" spans="4:6">
      <c r="D53" s="23"/>
      <c r="E53" s="174"/>
      <c r="F53" s="174"/>
    </row>
    <row r="54" spans="4:6">
      <c r="D54" s="23"/>
    </row>
    <row r="55" spans="4:6">
      <c r="D55" s="23"/>
    </row>
    <row r="56" spans="4:6">
      <c r="D56" s="23"/>
    </row>
    <row r="57" spans="4:6">
      <c r="D57" s="23"/>
    </row>
    <row r="58" spans="4:6">
      <c r="D58" s="23"/>
    </row>
    <row r="59" spans="4:6">
      <c r="D59" s="23"/>
    </row>
    <row r="60" spans="4:6">
      <c r="D60" s="23"/>
    </row>
    <row r="61" spans="4:6"/>
  </sheetData>
  <mergeCells count="4">
    <mergeCell ref="L35:N35"/>
    <mergeCell ref="B9:P9"/>
    <mergeCell ref="L32:N32"/>
    <mergeCell ref="B31:G31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4:O14" formulaRange="1"/>
    <ignoredError sqref="M21:M22" formula="1"/>
    <ignoredError sqref="P14" formula="1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F68C-C69C-41BF-B03A-7B42DB4B95B9}">
  <sheetPr>
    <tabColor theme="3"/>
  </sheetPr>
  <dimension ref="A1:T61"/>
  <sheetViews>
    <sheetView showGridLines="0" topLeftCell="A7" zoomScale="90" zoomScaleNormal="90" workbookViewId="0">
      <selection activeCell="C39" sqref="C39"/>
    </sheetView>
  </sheetViews>
  <sheetFormatPr defaultColWidth="0" defaultRowHeight="15" zeroHeight="1"/>
  <cols>
    <col min="1" max="1" width="9.140625" customWidth="1"/>
    <col min="2" max="2" width="88.7109375" customWidth="1"/>
    <col min="3" max="3" width="15.42578125" customWidth="1"/>
    <col min="4" max="4" width="13" customWidth="1"/>
    <col min="5" max="5" width="12.5703125" bestFit="1" customWidth="1"/>
    <col min="6" max="6" width="13.85546875" bestFit="1" customWidth="1"/>
    <col min="7" max="7" width="17.7109375" bestFit="1" customWidth="1"/>
    <col min="8" max="8" width="11" bestFit="1" customWidth="1"/>
    <col min="9" max="9" width="15" bestFit="1" customWidth="1"/>
    <col min="10" max="19" width="9.140625" customWidth="1"/>
    <col min="20" max="20" width="5.7109375" customWidth="1"/>
    <col min="21" max="16384" width="9.140625" hidden="1"/>
  </cols>
  <sheetData>
    <row r="1" spans="1:6" ht="3" customHeight="1"/>
    <row r="2" spans="1:6"/>
    <row r="3" spans="1:6" s="83" customFormat="1"/>
    <row r="4" spans="1:6" s="83" customFormat="1"/>
    <row r="5" spans="1:6" s="83" customFormat="1"/>
    <row r="6" spans="1:6"/>
    <row r="7" spans="1:6" ht="18.75">
      <c r="B7" s="111" t="s">
        <v>153</v>
      </c>
    </row>
    <row r="8" spans="1:6"/>
    <row r="9" spans="1:6" ht="15.75">
      <c r="B9" s="513" t="s">
        <v>205</v>
      </c>
      <c r="C9" s="513"/>
      <c r="D9" s="513"/>
      <c r="E9" s="477"/>
    </row>
    <row r="10" spans="1:6" ht="18">
      <c r="B10" s="214" t="s">
        <v>34</v>
      </c>
      <c r="C10" s="214" t="s">
        <v>206</v>
      </c>
      <c r="D10" s="346" t="s">
        <v>207</v>
      </c>
      <c r="E10" s="477"/>
    </row>
    <row r="11" spans="1:6" ht="30">
      <c r="A11" s="21"/>
      <c r="B11" s="490" t="s">
        <v>208</v>
      </c>
      <c r="C11" s="475">
        <f>(C13+C12)*1.0687651</f>
        <v>-1099082.3000227073</v>
      </c>
      <c r="D11" s="476">
        <f>C11/'CF - 2026'!$P$34</f>
        <v>-3.420801990420253E-3</v>
      </c>
      <c r="E11" s="477"/>
    </row>
    <row r="12" spans="1:6">
      <c r="B12" s="455" t="s">
        <v>209</v>
      </c>
      <c r="C12" s="536">
        <v>-10000000</v>
      </c>
      <c r="D12" s="536"/>
      <c r="E12" s="477"/>
    </row>
    <row r="13" spans="1:6">
      <c r="B13" s="345" t="s">
        <v>210</v>
      </c>
      <c r="C13" s="535">
        <v>8971633.4299999997</v>
      </c>
      <c r="D13" s="535"/>
      <c r="E13" s="478"/>
    </row>
    <row r="14" spans="1:6" ht="30">
      <c r="B14" s="491" t="s">
        <v>211</v>
      </c>
      <c r="C14" s="475">
        <f>((C17+C15)*1.0687651)+C16</f>
        <v>-4838970.28</v>
      </c>
      <c r="D14" s="476">
        <f>C14/'CF - 2026'!$P$34</f>
        <v>-1.5060891404644089E-2</v>
      </c>
      <c r="E14" s="477"/>
    </row>
    <row r="15" spans="1:6">
      <c r="B15" s="345" t="s">
        <v>212</v>
      </c>
      <c r="C15" s="536">
        <v>-6000000</v>
      </c>
      <c r="D15" s="536"/>
      <c r="E15" s="185"/>
      <c r="F15" s="18"/>
    </row>
    <row r="16" spans="1:6">
      <c r="B16" s="345" t="s">
        <v>213</v>
      </c>
      <c r="C16" s="535">
        <v>1573620.32</v>
      </c>
      <c r="D16" s="535"/>
      <c r="E16" s="185"/>
      <c r="F16" s="18"/>
    </row>
    <row r="17" spans="1:9">
      <c r="B17" s="345" t="s">
        <v>214</v>
      </c>
      <c r="C17" s="535">
        <v>0</v>
      </c>
      <c r="D17" s="535"/>
      <c r="E17" s="478"/>
      <c r="H17" s="321"/>
      <c r="I17" s="18"/>
    </row>
    <row r="18" spans="1:9">
      <c r="A18" s="21"/>
      <c r="B18" s="492" t="s">
        <v>215</v>
      </c>
      <c r="C18" s="456">
        <f>C19</f>
        <v>-181868.51</v>
      </c>
      <c r="D18" s="493">
        <f>C18/'CF - 2026'!$P$34</f>
        <v>-5.6605056872439138E-4</v>
      </c>
      <c r="E18" s="477"/>
    </row>
    <row r="19" spans="1:9">
      <c r="A19" s="21"/>
      <c r="B19" s="345" t="s">
        <v>216</v>
      </c>
      <c r="C19" s="535">
        <v>-181868.51</v>
      </c>
      <c r="D19" s="535"/>
      <c r="E19" s="477"/>
      <c r="G19" s="18"/>
    </row>
    <row r="20" spans="1:9">
      <c r="A20" s="21"/>
      <c r="B20" s="492" t="s">
        <v>217</v>
      </c>
      <c r="C20" s="456">
        <f>SUM(C21:D23)</f>
        <v>-2077990.1902000001</v>
      </c>
      <c r="D20" s="493">
        <f>C20/'CF - 2026'!$P$34</f>
        <v>-6.4675711532822056E-3</v>
      </c>
      <c r="E20" s="477"/>
      <c r="G20" s="3"/>
    </row>
    <row r="21" spans="1:9">
      <c r="A21" s="21"/>
      <c r="B21" s="345" t="s">
        <v>218</v>
      </c>
      <c r="C21" s="535">
        <v>-382152.19</v>
      </c>
      <c r="D21" s="535"/>
      <c r="E21" s="477"/>
      <c r="F21" s="18"/>
      <c r="G21" s="18"/>
    </row>
    <row r="22" spans="1:9" ht="15" customHeight="1">
      <c r="A22" s="21"/>
      <c r="B22" s="345" t="s">
        <v>219</v>
      </c>
      <c r="C22" s="535">
        <v>-4227969.7001999998</v>
      </c>
      <c r="D22" s="535"/>
      <c r="E22" s="477"/>
      <c r="F22" s="18"/>
      <c r="G22" s="18"/>
    </row>
    <row r="23" spans="1:9" ht="15" customHeight="1">
      <c r="A23" s="21"/>
      <c r="B23" s="345" t="s">
        <v>220</v>
      </c>
      <c r="C23" s="535">
        <v>2532131.7000000002</v>
      </c>
      <c r="D23" s="535"/>
      <c r="E23" s="477"/>
      <c r="F23" s="18"/>
      <c r="G23" s="18"/>
    </row>
    <row r="24" spans="1:9" ht="15" customHeight="1">
      <c r="A24" s="21"/>
      <c r="B24" s="492" t="s">
        <v>118</v>
      </c>
      <c r="C24" s="456">
        <f>SUM(C25:D25)</f>
        <v>5813137.1799999997</v>
      </c>
      <c r="D24" s="493">
        <f>C24/'CF - 2026'!$P$34</f>
        <v>1.8092904630999093E-2</v>
      </c>
      <c r="E24" s="478"/>
    </row>
    <row r="25" spans="1:9" ht="15" customHeight="1">
      <c r="A25" s="21"/>
      <c r="B25" s="489" t="s">
        <v>221</v>
      </c>
      <c r="C25" s="535">
        <f>5810900+2237.18</f>
        <v>5813137.1799999997</v>
      </c>
      <c r="D25" s="535"/>
      <c r="E25" s="479"/>
    </row>
    <row r="26" spans="1:9" ht="15" customHeight="1">
      <c r="A26" s="21"/>
      <c r="B26" s="492" t="s">
        <v>118</v>
      </c>
      <c r="C26" s="456">
        <f>SUM(C27:D28)</f>
        <v>-3227969.7</v>
      </c>
      <c r="D26" s="493">
        <f>C26/'CF - 2026'!$P$34</f>
        <v>-1.0046786464078378E-2</v>
      </c>
    </row>
    <row r="27" spans="1:9" ht="15" customHeight="1">
      <c r="A27" s="21"/>
      <c r="B27" s="489" t="s">
        <v>222</v>
      </c>
      <c r="C27" s="535">
        <v>-4227969.7</v>
      </c>
      <c r="D27" s="535"/>
      <c r="E27" s="185"/>
    </row>
    <row r="28" spans="1:9" ht="15" customHeight="1">
      <c r="A28" s="21"/>
      <c r="B28" s="488" t="s">
        <v>223</v>
      </c>
      <c r="C28" s="535">
        <v>1000000</v>
      </c>
      <c r="D28" s="535"/>
      <c r="E28" s="479"/>
      <c r="G28" s="321"/>
      <c r="H28" s="321"/>
    </row>
    <row r="29" spans="1:9" ht="15" customHeight="1">
      <c r="A29" s="21"/>
      <c r="B29" s="494" t="s">
        <v>224</v>
      </c>
      <c r="C29" s="456">
        <f>C30</f>
        <v>36714517.365127631</v>
      </c>
      <c r="D29" s="493">
        <f>C29/'CF - 2026'!$P$34</f>
        <v>0.11427087314330578</v>
      </c>
      <c r="G29" s="321"/>
      <c r="H29" s="321"/>
    </row>
    <row r="30" spans="1:9" ht="15" customHeight="1">
      <c r="A30" s="21"/>
      <c r="B30" s="367" t="s">
        <v>225</v>
      </c>
      <c r="C30" s="535">
        <f>'Tarifa Social'!E34</f>
        <v>36714517.365127631</v>
      </c>
      <c r="D30" s="535"/>
      <c r="G30" s="321"/>
      <c r="H30" s="321"/>
    </row>
    <row r="31" spans="1:9" ht="15" customHeight="1">
      <c r="B31" s="495" t="s">
        <v>226</v>
      </c>
      <c r="C31" s="456">
        <f>C32</f>
        <v>2085344.8377286592</v>
      </c>
      <c r="D31" s="493">
        <f>C31/'CF - 2026'!$P$34</f>
        <v>6.4904618803045188E-3</v>
      </c>
      <c r="G31" s="321"/>
      <c r="H31" s="321"/>
    </row>
    <row r="32" spans="1:9" ht="15" customHeight="1">
      <c r="B32" s="367" t="s">
        <v>227</v>
      </c>
      <c r="C32" s="535">
        <f>'Parcela de Incentivo EE 26'!C34</f>
        <v>2085344.8377286592</v>
      </c>
      <c r="D32" s="535"/>
      <c r="G32" s="321"/>
      <c r="H32" s="321"/>
    </row>
    <row r="33" spans="2:8">
      <c r="B33" s="214" t="s">
        <v>72</v>
      </c>
      <c r="C33" s="209">
        <f>SUM(C11,C14,C18,C20,C24,C26,C29,C31)</f>
        <v>33187118.402633581</v>
      </c>
      <c r="D33" s="352">
        <f>C33/'CF - 2026'!P34</f>
        <v>0.10329213807346008</v>
      </c>
      <c r="G33" s="321"/>
      <c r="H33" s="321"/>
    </row>
    <row r="34" spans="2:8">
      <c r="G34" s="321"/>
    </row>
    <row r="35" spans="2:8">
      <c r="G35" s="321"/>
      <c r="H35" s="321"/>
    </row>
    <row r="36" spans="2:8">
      <c r="C36" s="18"/>
      <c r="G36" s="321"/>
      <c r="H36" s="321"/>
    </row>
    <row r="37" spans="2:8" ht="4.5" customHeight="1">
      <c r="C37" s="18"/>
      <c r="G37" s="321"/>
    </row>
    <row r="38" spans="2:8">
      <c r="C38" s="18"/>
      <c r="G38" s="321"/>
      <c r="H38" s="321"/>
    </row>
    <row r="39" spans="2:8">
      <c r="C39" s="3"/>
      <c r="H39" s="321"/>
    </row>
    <row r="40" spans="2:8">
      <c r="H40" s="321"/>
    </row>
    <row r="41" spans="2:8"/>
    <row r="42" spans="2:8"/>
    <row r="43" spans="2:8"/>
    <row r="44" spans="2:8"/>
    <row r="45" spans="2:8"/>
    <row r="46" spans="2:8"/>
    <row r="47" spans="2:8"/>
    <row r="48" spans="2:8"/>
    <row r="49"/>
    <row r="50"/>
    <row r="51"/>
    <row r="52"/>
    <row r="53"/>
    <row r="54"/>
    <row r="55"/>
    <row r="56"/>
    <row r="57"/>
    <row r="58"/>
    <row r="59"/>
    <row r="60"/>
    <row r="61"/>
  </sheetData>
  <mergeCells count="15">
    <mergeCell ref="C32:D32"/>
    <mergeCell ref="B9:D9"/>
    <mergeCell ref="C12:D12"/>
    <mergeCell ref="C13:D13"/>
    <mergeCell ref="C21:D21"/>
    <mergeCell ref="C23:D23"/>
    <mergeCell ref="C15:D15"/>
    <mergeCell ref="C17:D17"/>
    <mergeCell ref="C16:D16"/>
    <mergeCell ref="C28:D28"/>
    <mergeCell ref="C25:D25"/>
    <mergeCell ref="C19:D19"/>
    <mergeCell ref="C30:D30"/>
    <mergeCell ref="C22:D22"/>
    <mergeCell ref="C27:D27"/>
  </mergeCells>
  <phoneticPr fontId="31" type="noConversion"/>
  <hyperlinks>
    <hyperlink ref="B29" location="'Tarifa Social'!A1" display="Tarifa Social - Lei Federal nº 14.898/2024" xr:uid="{91ACDF58-FD35-44B5-869E-AC741E35CF4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5FB8F595771546BCC83FFC58F4EB83" ma:contentTypeVersion="13" ma:contentTypeDescription="Crie um novo documento." ma:contentTypeScope="" ma:versionID="f27a89dc3bbbc8bfcad8e40ab40bee20">
  <xsd:schema xmlns:xsd="http://www.w3.org/2001/XMLSchema" xmlns:xs="http://www.w3.org/2001/XMLSchema" xmlns:p="http://schemas.microsoft.com/office/2006/metadata/properties" xmlns:ns2="4b520b24-8996-453a-8c5e-60294695dd12" xmlns:ns3="12eaf6f9-417e-4436-811b-51d381a4d0a9" targetNamespace="http://schemas.microsoft.com/office/2006/metadata/properties" ma:root="true" ma:fieldsID="299d1a308d77cdbfb83cfb0a63427a32" ns2:_="" ns3:_="">
    <xsd:import namespace="4b520b24-8996-453a-8c5e-60294695dd12"/>
    <xsd:import namespace="12eaf6f9-417e-4436-811b-51d381a4d0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20b24-8996-453a-8c5e-60294695dd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af6f9-417e-4436-811b-51d381a4d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b520b24-8996-453a-8c5e-60294695dd12">
      <UserInfo>
        <DisplayName>Cássio Leandro Cossenzo</DisplayName>
        <AccountId>20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DF9B725-14FE-4C9C-A0D1-54DA2891A90D}"/>
</file>

<file path=customXml/itemProps2.xml><?xml version="1.0" encoding="utf-8"?>
<ds:datastoreItem xmlns:ds="http://schemas.openxmlformats.org/officeDocument/2006/customXml" ds:itemID="{3DBB49A4-63C9-431A-82E6-2DAA2E6BAC6B}"/>
</file>

<file path=customXml/itemProps3.xml><?xml version="1.0" encoding="utf-8"?>
<ds:datastoreItem xmlns:ds="http://schemas.openxmlformats.org/officeDocument/2006/customXml" ds:itemID="{BCE5C07B-A263-424C-869C-57429B3A7A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cassio.leandro</dc:creator>
  <cp:keywords/>
  <dc:description/>
  <cp:lastModifiedBy/>
  <cp:revision/>
  <dcterms:created xsi:type="dcterms:W3CDTF">2013-12-30T11:25:26Z</dcterms:created>
  <dcterms:modified xsi:type="dcterms:W3CDTF">2026-03-12T12:55:31Z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0x010100695FB8F595771546BCC83FFC58F4EB83</vt:lpwstr>
  </property>
  <property fmtid="{D5CDD505-2E9C-101B-9397-08002B2CF9AE}" pid="3" name="AuthorIds_UIVersion_8192">
    <vt:lpwstr>165</vt:lpwstr>
  </property>
</Properties>
</file>